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7 ZN\ZN-K\Veröffentlichungspflichten\04_PARAMETER\2021\"/>
    </mc:Choice>
  </mc:AlternateContent>
  <xr:revisionPtr revIDLastSave="0" documentId="13_ncr:1_{1CF16E3F-AEFA-487B-AF45-A8AF3E519D3E}" xr6:coauthVersionLast="45" xr6:coauthVersionMax="45" xr10:uidLastSave="{00000000-0000-0000-0000-000000000000}"/>
  <bookViews>
    <workbookView xWindow="40920" yWindow="-120" windowWidth="19440" windowHeight="15000" tabRatio="789" activeTab="2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Hünxe" sheetId="19" r:id="rId4"/>
    <sheet name="SLP-Temp-Gebiet #Kevelaer" sheetId="17" r:id="rId5"/>
    <sheet name="SLP-Temp-Gebiet #02" sheetId="18" state="hidden" r:id="rId6"/>
    <sheet name="SLP-Profile" sheetId="7" r:id="rId7"/>
    <sheet name="SLP-Feiertage" sheetId="1" r:id="rId8"/>
    <sheet name="BDEW-Standard" sheetId="8" state="hidden" r:id="rId9"/>
    <sheet name="Wochentag F(WT)" sheetId="4" state="hidden" r:id="rId10"/>
  </sheets>
  <definedNames>
    <definedName name="_Fill" localSheetId="5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8" hidden="1">'BDEW-Standard'!$A$2:$M$158</definedName>
    <definedName name="_xlnm.Print_Area" localSheetId="9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0" i="19" l="1"/>
  <c r="M70" i="19"/>
  <c r="L70" i="19"/>
  <c r="K70" i="19"/>
  <c r="J70" i="19"/>
  <c r="I70" i="19"/>
  <c r="H70" i="19"/>
  <c r="G70" i="19"/>
  <c r="N69" i="19"/>
  <c r="M69" i="19"/>
  <c r="L69" i="19"/>
  <c r="K69" i="19"/>
  <c r="J69" i="19"/>
  <c r="I69" i="19"/>
  <c r="H69" i="19"/>
  <c r="G69" i="19"/>
  <c r="F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N66" i="19"/>
  <c r="M66" i="19"/>
  <c r="L66" i="19"/>
  <c r="K66" i="19"/>
  <c r="J66" i="19"/>
  <c r="I66" i="19"/>
  <c r="H66" i="19"/>
  <c r="G66" i="19"/>
  <c r="F66" i="19"/>
  <c r="E66" i="19"/>
  <c r="N63" i="19"/>
  <c r="M63" i="19"/>
  <c r="H63" i="19"/>
  <c r="F62" i="19"/>
  <c r="L63" i="19" s="1"/>
  <c r="N60" i="19"/>
  <c r="M60" i="19"/>
  <c r="L60" i="19"/>
  <c r="K60" i="19"/>
  <c r="J60" i="19"/>
  <c r="I60" i="19"/>
  <c r="H60" i="19"/>
  <c r="G60" i="19"/>
  <c r="F60" i="19"/>
  <c r="E60" i="19"/>
  <c r="N59" i="19"/>
  <c r="M59" i="19"/>
  <c r="L59" i="19"/>
  <c r="K59" i="19"/>
  <c r="J59" i="19"/>
  <c r="I59" i="19"/>
  <c r="H59" i="19"/>
  <c r="G59" i="19"/>
  <c r="F59" i="19"/>
  <c r="E59" i="19"/>
  <c r="N58" i="19"/>
  <c r="M58" i="19"/>
  <c r="L58" i="19"/>
  <c r="K58" i="19"/>
  <c r="J58" i="19"/>
  <c r="I58" i="19"/>
  <c r="H58" i="19"/>
  <c r="G58" i="19"/>
  <c r="F58" i="19"/>
  <c r="E58" i="19"/>
  <c r="N57" i="19"/>
  <c r="M57" i="19"/>
  <c r="L57" i="19"/>
  <c r="K57" i="19"/>
  <c r="J57" i="19"/>
  <c r="I57" i="19"/>
  <c r="H57" i="19"/>
  <c r="G57" i="19"/>
  <c r="F57" i="19"/>
  <c r="E57" i="19"/>
  <c r="N56" i="19"/>
  <c r="M56" i="19"/>
  <c r="L56" i="19"/>
  <c r="K56" i="19"/>
  <c r="J56" i="19"/>
  <c r="I56" i="19"/>
  <c r="H56" i="19"/>
  <c r="G56" i="19"/>
  <c r="F56" i="19"/>
  <c r="E56" i="19"/>
  <c r="F52" i="19"/>
  <c r="L53" i="19" s="1"/>
  <c r="N29" i="19"/>
  <c r="M29" i="19"/>
  <c r="L29" i="19"/>
  <c r="K29" i="19"/>
  <c r="J29" i="19"/>
  <c r="I29" i="19"/>
  <c r="H29" i="19"/>
  <c r="G29" i="19"/>
  <c r="F29" i="19"/>
  <c r="E29" i="19"/>
  <c r="T23" i="19"/>
  <c r="N19" i="19"/>
  <c r="M19" i="19"/>
  <c r="L19" i="19"/>
  <c r="K19" i="19"/>
  <c r="J19" i="19"/>
  <c r="I19" i="19"/>
  <c r="H19" i="19"/>
  <c r="G19" i="19"/>
  <c r="F19" i="19"/>
  <c r="E19" i="19"/>
  <c r="F11" i="19"/>
  <c r="F9" i="19"/>
  <c r="E7" i="19"/>
  <c r="E6" i="19"/>
  <c r="E4" i="19"/>
  <c r="I53" i="19" l="1"/>
  <c r="J53" i="19"/>
  <c r="E63" i="19"/>
  <c r="D66" i="19" s="1"/>
  <c r="F63" i="19"/>
  <c r="G63" i="19"/>
  <c r="F53" i="19"/>
  <c r="I63" i="19"/>
  <c r="D32" i="19"/>
  <c r="I31" i="19" s="1"/>
  <c r="G53" i="19"/>
  <c r="J63" i="19"/>
  <c r="D22" i="19"/>
  <c r="I21" i="19" s="1"/>
  <c r="H53" i="19"/>
  <c r="M53" i="19"/>
  <c r="N53" i="19"/>
  <c r="E53" i="19"/>
  <c r="K53" i="19"/>
  <c r="K63" i="19"/>
  <c r="Q15" i="7"/>
  <c r="Q13" i="7"/>
  <c r="Q14" i="7"/>
  <c r="Q16" i="7"/>
  <c r="K31" i="19" l="1"/>
  <c r="N31" i="19"/>
  <c r="J31" i="19"/>
  <c r="L21" i="19"/>
  <c r="L31" i="19"/>
  <c r="M21" i="19"/>
  <c r="F21" i="19"/>
  <c r="M31" i="19"/>
  <c r="N21" i="19"/>
  <c r="F31" i="19"/>
  <c r="H21" i="19"/>
  <c r="J21" i="19"/>
  <c r="K21" i="19"/>
  <c r="G31" i="19"/>
  <c r="G21" i="19"/>
  <c r="H31" i="19"/>
  <c r="D56" i="19"/>
  <c r="M55" i="19" s="1"/>
  <c r="F65" i="19"/>
  <c r="N65" i="19"/>
  <c r="G65" i="19"/>
  <c r="L65" i="19"/>
  <c r="J65" i="19"/>
  <c r="K65" i="19"/>
  <c r="I65" i="19"/>
  <c r="M65" i="19"/>
  <c r="H65" i="19"/>
  <c r="R42" i="7"/>
  <c r="S42" i="7"/>
  <c r="T42" i="7"/>
  <c r="U42" i="7"/>
  <c r="V42" i="7"/>
  <c r="W42" i="7"/>
  <c r="R43" i="7"/>
  <c r="S43" i="7"/>
  <c r="T43" i="7"/>
  <c r="U43" i="7"/>
  <c r="V43" i="7"/>
  <c r="W43" i="7"/>
  <c r="R44" i="7"/>
  <c r="S44" i="7"/>
  <c r="T44" i="7"/>
  <c r="U44" i="7"/>
  <c r="V44" i="7"/>
  <c r="W44" i="7"/>
  <c r="R45" i="7"/>
  <c r="S45" i="7"/>
  <c r="T45" i="7"/>
  <c r="U45" i="7"/>
  <c r="V45" i="7"/>
  <c r="W45" i="7"/>
  <c r="R46" i="7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1" i="7"/>
  <c r="S51" i="7"/>
  <c r="T51" i="7"/>
  <c r="U51" i="7"/>
  <c r="V51" i="7"/>
  <c r="W51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R30" i="7"/>
  <c r="S30" i="7"/>
  <c r="T30" i="7"/>
  <c r="U30" i="7"/>
  <c r="V30" i="7"/>
  <c r="W30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39" i="7"/>
  <c r="S39" i="7"/>
  <c r="T39" i="7"/>
  <c r="U39" i="7"/>
  <c r="V39" i="7"/>
  <c r="W39" i="7"/>
  <c r="X39" i="7" s="1"/>
  <c r="R40" i="7"/>
  <c r="S40" i="7"/>
  <c r="T40" i="7"/>
  <c r="U40" i="7"/>
  <c r="V40" i="7"/>
  <c r="W40" i="7"/>
  <c r="R41" i="7"/>
  <c r="S41" i="7"/>
  <c r="T41" i="7"/>
  <c r="U41" i="7"/>
  <c r="V41" i="7"/>
  <c r="W41" i="7"/>
  <c r="X49" i="7" l="1"/>
  <c r="E21" i="19"/>
  <c r="X43" i="7"/>
  <c r="E31" i="19"/>
  <c r="X47" i="7"/>
  <c r="X45" i="7"/>
  <c r="X42" i="7"/>
  <c r="X41" i="7"/>
  <c r="X27" i="7"/>
  <c r="X29" i="7"/>
  <c r="I55" i="19"/>
  <c r="N55" i="19"/>
  <c r="F55" i="19"/>
  <c r="J55" i="19"/>
  <c r="H55" i="19"/>
  <c r="K55" i="19"/>
  <c r="G55" i="19"/>
  <c r="L55" i="19"/>
  <c r="E65" i="19"/>
  <c r="X37" i="7"/>
  <c r="X33" i="7"/>
  <c r="X31" i="7"/>
  <c r="X40" i="7"/>
  <c r="X38" i="7"/>
  <c r="X36" i="7"/>
  <c r="X34" i="7"/>
  <c r="X32" i="7"/>
  <c r="X30" i="7"/>
  <c r="X28" i="7"/>
  <c r="X51" i="7"/>
  <c r="X48" i="7"/>
  <c r="X46" i="7"/>
  <c r="X44" i="7"/>
  <c r="E7" i="18"/>
  <c r="E6" i="18"/>
  <c r="E4" i="18"/>
  <c r="E7" i="17"/>
  <c r="E6" i="17"/>
  <c r="E4" i="17"/>
  <c r="E55" i="19" l="1"/>
  <c r="C33" i="15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E63" i="18"/>
  <c r="J63" i="18"/>
  <c r="K53" i="18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F21" i="18"/>
  <c r="M21" i="18"/>
  <c r="I21" i="18"/>
  <c r="K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H21" i="18" l="1"/>
  <c r="N21" i="18"/>
  <c r="G21" i="18"/>
  <c r="D56" i="18"/>
  <c r="J55" i="18" s="1"/>
  <c r="L21" i="18"/>
  <c r="E21" i="18" s="1"/>
  <c r="E31" i="18"/>
  <c r="D66" i="18"/>
  <c r="K65" i="18" s="1"/>
  <c r="F69" i="17"/>
  <c r="G69" i="17"/>
  <c r="H69" i="17"/>
  <c r="I69" i="17"/>
  <c r="J69" i="17"/>
  <c r="K69" i="17"/>
  <c r="L69" i="17"/>
  <c r="M69" i="17"/>
  <c r="N69" i="17"/>
  <c r="H55" i="18" l="1"/>
  <c r="M55" i="18"/>
  <c r="F55" i="18"/>
  <c r="G55" i="18"/>
  <c r="E55" i="18" s="1"/>
  <c r="N55" i="18"/>
  <c r="L55" i="18"/>
  <c r="K55" i="18"/>
  <c r="I55" i="18"/>
  <c r="M65" i="18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E5" i="19" s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T35" i="7"/>
  <c r="T50" i="7"/>
  <c r="V35" i="7"/>
  <c r="V50" i="7"/>
  <c r="S50" i="7"/>
  <c r="S35" i="7"/>
  <c r="R50" i="7"/>
  <c r="R35" i="7"/>
  <c r="U35" i="7"/>
  <c r="U50" i="7"/>
  <c r="W35" i="7"/>
  <c r="X35" i="7" s="1"/>
  <c r="W50" i="7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X50" i="7" l="1"/>
  <c r="F12" i="7"/>
  <c r="L43" i="7"/>
  <c r="H44" i="7"/>
  <c r="P45" i="7"/>
  <c r="L46" i="7"/>
  <c r="H47" i="7"/>
  <c r="O48" i="7"/>
  <c r="J49" i="7"/>
  <c r="L51" i="7"/>
  <c r="H27" i="7"/>
  <c r="O28" i="7"/>
  <c r="K29" i="7"/>
  <c r="N31" i="7"/>
  <c r="I32" i="7"/>
  <c r="L34" i="7"/>
  <c r="H35" i="7"/>
  <c r="O36" i="7"/>
  <c r="K37" i="7"/>
  <c r="N39" i="7"/>
  <c r="I40" i="7"/>
  <c r="I18" i="7"/>
  <c r="M43" i="7"/>
  <c r="I44" i="7"/>
  <c r="M46" i="7"/>
  <c r="I47" i="7"/>
  <c r="P48" i="7"/>
  <c r="K49" i="7"/>
  <c r="M51" i="7"/>
  <c r="I27" i="7"/>
  <c r="P28" i="7"/>
  <c r="L29" i="7"/>
  <c r="F30" i="7"/>
  <c r="O31" i="7"/>
  <c r="J32" i="7"/>
  <c r="M34" i="7"/>
  <c r="I35" i="7"/>
  <c r="P36" i="7"/>
  <c r="L37" i="7"/>
  <c r="F38" i="7"/>
  <c r="F42" i="7"/>
  <c r="N43" i="7"/>
  <c r="J44" i="7"/>
  <c r="N46" i="7"/>
  <c r="J47" i="7"/>
  <c r="L49" i="7"/>
  <c r="F50" i="7"/>
  <c r="N51" i="7"/>
  <c r="J27" i="7"/>
  <c r="M29" i="7"/>
  <c r="H30" i="7"/>
  <c r="P31" i="7"/>
  <c r="K32" i="7"/>
  <c r="F33" i="7"/>
  <c r="N34" i="7"/>
  <c r="J35" i="7"/>
  <c r="M37" i="7"/>
  <c r="H38" i="7"/>
  <c r="P39" i="7"/>
  <c r="K40" i="7"/>
  <c r="F41" i="7"/>
  <c r="H41" i="7"/>
  <c r="F35" i="7"/>
  <c r="H42" i="7"/>
  <c r="O43" i="7"/>
  <c r="K44" i="7"/>
  <c r="F45" i="7"/>
  <c r="O46" i="7"/>
  <c r="K47" i="7"/>
  <c r="M49" i="7"/>
  <c r="H50" i="7"/>
  <c r="O51" i="7"/>
  <c r="K27" i="7"/>
  <c r="N29" i="7"/>
  <c r="I30" i="7"/>
  <c r="L32" i="7"/>
  <c r="H33" i="7"/>
  <c r="O34" i="7"/>
  <c r="K35" i="7"/>
  <c r="N37" i="7"/>
  <c r="I38" i="7"/>
  <c r="L40" i="7"/>
  <c r="J40" i="7"/>
  <c r="I42" i="7"/>
  <c r="P43" i="7"/>
  <c r="L44" i="7"/>
  <c r="H45" i="7"/>
  <c r="P46" i="7"/>
  <c r="L47" i="7"/>
  <c r="F48" i="7"/>
  <c r="N49" i="7"/>
  <c r="I50" i="7"/>
  <c r="P51" i="7"/>
  <c r="L27" i="7"/>
  <c r="F28" i="7"/>
  <c r="O29" i="7"/>
  <c r="J30" i="7"/>
  <c r="M32" i="7"/>
  <c r="I33" i="7"/>
  <c r="P34" i="7"/>
  <c r="L35" i="7"/>
  <c r="F36" i="7"/>
  <c r="O37" i="7"/>
  <c r="J38" i="7"/>
  <c r="M40" i="7"/>
  <c r="I41" i="7"/>
  <c r="M35" i="7"/>
  <c r="H36" i="7"/>
  <c r="P37" i="7"/>
  <c r="K38" i="7"/>
  <c r="F39" i="7"/>
  <c r="N40" i="7"/>
  <c r="J41" i="7"/>
  <c r="H39" i="7"/>
  <c r="O40" i="7"/>
  <c r="K41" i="7"/>
  <c r="K36" i="7"/>
  <c r="N38" i="7"/>
  <c r="O30" i="7"/>
  <c r="L36" i="7"/>
  <c r="K39" i="7"/>
  <c r="N45" i="7"/>
  <c r="O50" i="7"/>
  <c r="M28" i="7"/>
  <c r="O33" i="7"/>
  <c r="L39" i="7"/>
  <c r="O41" i="7"/>
  <c r="F44" i="7"/>
  <c r="K46" i="7"/>
  <c r="P33" i="7"/>
  <c r="P41" i="7"/>
  <c r="O39" i="7"/>
  <c r="J42" i="7"/>
  <c r="M44" i="7"/>
  <c r="I45" i="7"/>
  <c r="M47" i="7"/>
  <c r="H48" i="7"/>
  <c r="O49" i="7"/>
  <c r="J50" i="7"/>
  <c r="M27" i="7"/>
  <c r="H28" i="7"/>
  <c r="P29" i="7"/>
  <c r="K30" i="7"/>
  <c r="F31" i="7"/>
  <c r="N32" i="7"/>
  <c r="J33" i="7"/>
  <c r="N35" i="7"/>
  <c r="I36" i="7"/>
  <c r="L38" i="7"/>
  <c r="O45" i="7"/>
  <c r="K51" i="7"/>
  <c r="J29" i="7"/>
  <c r="K42" i="7"/>
  <c r="N44" i="7"/>
  <c r="J45" i="7"/>
  <c r="N47" i="7"/>
  <c r="I48" i="7"/>
  <c r="P49" i="7"/>
  <c r="K50" i="7"/>
  <c r="N27" i="7"/>
  <c r="I28" i="7"/>
  <c r="L30" i="7"/>
  <c r="H31" i="7"/>
  <c r="O32" i="7"/>
  <c r="K33" i="7"/>
  <c r="L28" i="7"/>
  <c r="H49" i="7"/>
  <c r="I37" i="7"/>
  <c r="F40" i="7"/>
  <c r="F47" i="7"/>
  <c r="I49" i="7"/>
  <c r="P50" i="7"/>
  <c r="N28" i="7"/>
  <c r="H40" i="7"/>
  <c r="L42" i="7"/>
  <c r="F43" i="7"/>
  <c r="O44" i="7"/>
  <c r="K45" i="7"/>
  <c r="F46" i="7"/>
  <c r="O47" i="7"/>
  <c r="J48" i="7"/>
  <c r="L50" i="7"/>
  <c r="F51" i="7"/>
  <c r="O27" i="7"/>
  <c r="J28" i="7"/>
  <c r="M30" i="7"/>
  <c r="I31" i="7"/>
  <c r="P32" i="7"/>
  <c r="L33" i="7"/>
  <c r="F34" i="7"/>
  <c r="O35" i="7"/>
  <c r="J36" i="7"/>
  <c r="M38" i="7"/>
  <c r="I39" i="7"/>
  <c r="P40" i="7"/>
  <c r="L41" i="7"/>
  <c r="J39" i="7"/>
  <c r="M41" i="7"/>
  <c r="J43" i="7"/>
  <c r="J46" i="7"/>
  <c r="J51" i="7"/>
  <c r="I29" i="7"/>
  <c r="P30" i="7"/>
  <c r="F32" i="7"/>
  <c r="P42" i="7"/>
  <c r="N48" i="7"/>
  <c r="M39" i="7"/>
  <c r="M42" i="7"/>
  <c r="H43" i="7"/>
  <c r="P44" i="7"/>
  <c r="L45" i="7"/>
  <c r="H46" i="7"/>
  <c r="P47" i="7"/>
  <c r="K48" i="7"/>
  <c r="M50" i="7"/>
  <c r="H51" i="7"/>
  <c r="Q51" i="7" s="1"/>
  <c r="P27" i="7"/>
  <c r="K28" i="7"/>
  <c r="F29" i="7"/>
  <c r="N30" i="7"/>
  <c r="J31" i="7"/>
  <c r="M33" i="7"/>
  <c r="H34" i="7"/>
  <c r="P35" i="7"/>
  <c r="F37" i="7"/>
  <c r="N33" i="7"/>
  <c r="O38" i="7"/>
  <c r="L31" i="7"/>
  <c r="J34" i="7"/>
  <c r="M36" i="7"/>
  <c r="P38" i="7"/>
  <c r="H32" i="7"/>
  <c r="N36" i="7"/>
  <c r="N42" i="7"/>
  <c r="I43" i="7"/>
  <c r="M45" i="7"/>
  <c r="I46" i="7"/>
  <c r="L48" i="7"/>
  <c r="F49" i="7"/>
  <c r="N50" i="7"/>
  <c r="I51" i="7"/>
  <c r="H29" i="7"/>
  <c r="K31" i="7"/>
  <c r="I34" i="7"/>
  <c r="H37" i="7"/>
  <c r="N41" i="7"/>
  <c r="O42" i="7"/>
  <c r="M48" i="7"/>
  <c r="K43" i="7"/>
  <c r="F27" i="7"/>
  <c r="M31" i="7"/>
  <c r="K34" i="7"/>
  <c r="J37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7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26" i="7"/>
  <c r="F24" i="7"/>
  <c r="F22" i="7"/>
  <c r="F20" i="7"/>
  <c r="F18" i="7"/>
  <c r="F11" i="7"/>
  <c r="M8" i="4"/>
  <c r="M7" i="4"/>
  <c r="D6" i="15"/>
  <c r="D6" i="7"/>
  <c r="Q29" i="7" l="1"/>
  <c r="Q49" i="7"/>
  <c r="Q50" i="7"/>
  <c r="Q27" i="7"/>
  <c r="Q31" i="7"/>
  <c r="Q41" i="7"/>
  <c r="Q34" i="7"/>
  <c r="Q28" i="7"/>
  <c r="Q47" i="7"/>
  <c r="Q40" i="7"/>
  <c r="Q39" i="7"/>
  <c r="Q37" i="7"/>
  <c r="Q43" i="7"/>
  <c r="Q48" i="7"/>
  <c r="Q33" i="7"/>
  <c r="Q35" i="7"/>
  <c r="Q38" i="7"/>
  <c r="Q30" i="7"/>
  <c r="Q46" i="7"/>
  <c r="Q42" i="7"/>
  <c r="Q44" i="7"/>
  <c r="Q45" i="7"/>
  <c r="Q36" i="7"/>
  <c r="Q32" i="7"/>
  <c r="C44" i="7"/>
  <c r="C45" i="7"/>
  <c r="C50" i="7"/>
  <c r="C46" i="7"/>
  <c r="C47" i="7"/>
  <c r="C51" i="7"/>
  <c r="C42" i="7"/>
  <c r="C48" i="7"/>
  <c r="C43" i="7"/>
  <c r="C49" i="7"/>
  <c r="Q18" i="7"/>
  <c r="Q11" i="7"/>
  <c r="Q20" i="7"/>
  <c r="Q12" i="7"/>
  <c r="Q26" i="7"/>
  <c r="Q25" i="7"/>
  <c r="Q21" i="7"/>
  <c r="Q22" i="7"/>
  <c r="Q19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<sst xmlns="http://schemas.openxmlformats.org/spreadsheetml/2006/main" count="1659" uniqueCount="714">
  <si>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</si>
  <si>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</si>
  <si>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</si>
  <si>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</si>
  <si>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</si>
  <si>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</si>
  <si>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</si>
  <si>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</si>
  <si>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</si>
  <si>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</si>
  <si>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</si>
  <si>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</si>
  <si>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</si>
  <si>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</si>
  <si>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</si>
  <si>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</si>
  <si>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</si>
  <si>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</si>
  <si>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</si>
  <si>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</si>
  <si>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</si>
  <si>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</si>
  <si>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</si>
  <si>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</si>
  <si>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</si>
  <si>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</si>
  <si>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</si>
  <si>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</si>
  <si>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</si>
  <si>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</si>
  <si>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</si>
  <si>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</si>
  <si>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</si>
  <si>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</si>
  <si>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</si>
  <si>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</si>
  <si>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</si>
  <si>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</si>
  <si>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</si>
  <si>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</si>
  <si>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</si>
  <si>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</si>
  <si>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</si>
  <si>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</si>
  <si>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</si>
  <si>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</si>
  <si>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</si>
  <si>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</si>
  <si>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</si>
  <si>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</si>
  <si>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</si>
  <si>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</si>
  <si>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</si>
  <si>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</si>
  <si>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</si>
  <si>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</si>
  <si>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</si>
  <si>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</si>
  <si>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</si>
  <si>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</si>
  <si>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</si>
  <si>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</si>
  <si>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</si>
  <si>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</si>
  <si>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</si>
  <si>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</si>
  <si>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</si>
  <si>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</si>
  <si>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</si>
  <si>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</si>
  <si>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</si>
  <si>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</si>
  <si>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</si>
  <si>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</si>
  <si>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</si>
  <si>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</si>
  <si>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</si>
  <si>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</si>
  <si>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</si>
  <si>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</si>
  <si>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</si>
  <si>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</si>
  <si>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</si>
  <si>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</si>
  <si>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</si>
  <si>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</si>
  <si>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</si>
  <si>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</si>
  <si>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</si>
  <si>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</si>
  <si>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</si>
  <si>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</si>
  <si>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</si>
  <si>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</si>
  <si>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</si>
  <si>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</si>
  <si>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</si>
  <si>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</si>
  <si>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</si>
  <si>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</si>
  <si>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</si>
  <si>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</si>
  <si>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</si>
  <si>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</si>
  <si>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</si>
  <si>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</si>
  <si>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</si>
  <si>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</si>
  <si>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</si>
  <si>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</si>
  <si>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</si>
  <si>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</si>
  <si>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</si>
  <si>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</si>
  <si>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</si>
  <si>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</si>
  <si>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</si>
  <si>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</si>
  <si>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</si>
  <si>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</si>
  <si>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</si>
  <si>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</si>
  <si>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</si>
  <si>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</si>
  <si>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</si>
  <si>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</si>
  <si>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</si>
  <si>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</si>
  <si>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</si>
  <si>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</si>
  <si>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</si>
  <si>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</si>
  <si>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</si>
  <si>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</si>
  <si>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</si>
  <si>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</si>
  <si>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</si>
  <si>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</si>
  <si>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</si>
  <si>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</si>
  <si>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</si>
  <si>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</si>
  <si>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</si>
  <si>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</si>
  <si>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</si>
  <si>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</si>
  <si>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</si>
  <si>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</si>
  <si>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</si>
  <si>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</si>
  <si>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</si>
  <si>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</si>
  <si>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</si>
  <si>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</si>
  <si>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</si>
  <si>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</si>
  <si>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</si>
  <si>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</si>
  <si>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</si>
  <si>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</si>
  <si>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</si>
  <si>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</si>
  <si>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</si>
  <si>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</si>
  <si>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</si>
  <si>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</si>
  <si>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</si>
  <si>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</si>
  <si>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</si>
  <si>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</si>
  <si>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</si>
  <si>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</si>
  <si>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</si>
  <si>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</si>
  <si>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</si>
  <si>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</si>
  <si>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</si>
  <si>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</si>
  <si>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</si>
  <si>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</si>
  <si>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</si>
  <si>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</si>
  <si>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</si>
  <si>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</si>
  <si>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</si>
  <si>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</si>
  <si>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</si>
  <si>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</si>
  <si>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</si>
  <si>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</si>
  <si>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</si>
  <si>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</si>
  <si>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</si>
  <si>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</si>
  <si>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</si>
  <si>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</si>
  <si>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</si>
  <si>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</si>
  <si>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</si>
  <si>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</si>
  <si>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</si>
  <si>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</si>
  <si>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</si>
  <si>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</si>
  <si>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</si>
  <si>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</si>
  <si>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</si>
  <si>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</si>
  <si>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</si>
  <si>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</si>
  <si>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</si>
  <si>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</si>
  <si>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</si>
  <si>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</si>
  <si>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</si>
  <si>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</si>
  <si>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</si>
  <si>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</si>
  <si>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</si>
  <si>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</si>
  <si>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</si>
  <si>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</si>
  <si>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</si>
  <si>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</si>
  <si>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</si>
  <si>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</si>
  <si>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</si>
  <si>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</si>
  <si>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</si>
  <si>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</si>
  <si>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</si>
  <si>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</si>
  <si>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</si>
  <si>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</si>
  <si>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</si>
  <si>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</si>
  <si>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</si>
  <si>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</si>
  <si>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</si>
  <si>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</si>
  <si>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</si>
  <si>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</si>
  <si>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</si>
  <si>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</si>
  <si>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</si>
  <si>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</si>
  <si>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</si>
  <si>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</si>
  <si>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</si>
  <si>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</si>
  <si>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</si>
  <si>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</si>
  <si>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</si>
  <si>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</si>
  <si>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</si>
  <si>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</si>
  <si>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</si>
  <si>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</si>
  <si>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</si>
  <si>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</si>
  <si>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</si>
  <si>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</si>
  <si>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</si>
  <si>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</si>
  <si>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</si>
  <si>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</si>
  <si>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</si>
  <si>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</si>
  <si>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</si>
  <si>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</si>
  <si>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</si>
  <si>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</si>
  <si>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</si>
  <si>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</si>
  <si>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</si>
  <si>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</si>
  <si>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</si>
  <si>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</si>
  <si>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</si>
  <si>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</si>
  <si>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</si>
  <si>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</si>
  <si>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</si>
  <si>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</si>
  <si>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</si>
  <si>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</si>
  <si>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</si>
  <si>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</si>
  <si>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</si>
  <si>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</si>
  <si>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</si>
  <si>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</si>
  <si>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</si>
  <si>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</si>
  <si>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</si>
  <si>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</si>
  <si>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</si>
  <si>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</si>
  <si>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</si>
  <si>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</si>
  <si>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</si>
  <si>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</si>
  <si>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</si>
  <si>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</si>
  <si>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</si>
  <si>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</si>
  <si>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</si>
  <si>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</si>
  <si>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</si>
  <si>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</si>
  <si>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</si>
  <si>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</si>
  <si>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</si>
  <si>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</si>
  <si>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</si>
  <si>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</si>
  <si>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</si>
  <si>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</si>
  <si>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</si>
  <si>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</si>
  <si>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</si>
  <si>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</si>
  <si>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</si>
  <si>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</si>
  <si>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</si>
  <si>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</si>
  <si>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</si>
  <si>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</si>
  <si>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</si>
  <si>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</si>
  <si>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</si>
  <si>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</si>
  <si>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</si>
  <si>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</si>
  <si>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</si>
  <si>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</si>
  <si>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</si>
  <si>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</si>
  <si>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</si>
  <si>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</si>
  <si>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</si>
  <si>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</si>
  <si>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</si>
  <si>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</si>
  <si>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</si>
  <si>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</si>
  <si>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</si>
  <si>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</si>
  <si>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</si>
  <si>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</si>
  <si>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</si>
  <si>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</si>
  <si>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</si>
  <si>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</si>
  <si>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</si>
  <si>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</si>
  <si>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</si>
  <si>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</si>
  <si>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</si>
  <si>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</si>
  <si>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</si>
  <si>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</si>
  <si>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</si>
  <si>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</si>
  <si>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</si>
  <si>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</si>
  <si>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</si>
  <si>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</si>
  <si>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</si>
  <si>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</si>
  <si>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</si>
  <si>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</si>
  <si>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</si>
  <si>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</si>
  <si>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</si>
  <si>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</si>
  <si>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</si>
  <si>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</si>
  <si>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</si>
  <si>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</si>
  <si>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</si>
  <si>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</si>
  <si>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</si>
  <si>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</si>
  <si>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</si>
  <si>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</si>
  <si>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</si>
  <si>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</si>
  <si>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</si>
  <si>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</si>
  <si>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</si>
  <si>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</si>
  <si>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</si>
  <si>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</si>
  <si>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</si>
  <si>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</si>
  <si>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</si>
  <si>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</si>
  <si>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</si>
  <si>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</si>
  <si>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</si>
  <si>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</si>
  <si>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</si>
  <si>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</si>
  <si>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</si>
  <si>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</si>
  <si>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</si>
  <si>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</si>
  <si>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</si>
  <si>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</si>
  <si>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</si>
  <si>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</si>
  <si>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</si>
  <si>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</si>
  <si>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</si>
  <si>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</si>
  <si>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</si>
  <si>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</si>
  <si>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</si>
  <si>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</si>
  <si>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</si>
  <si>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</si>
  <si>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</si>
  <si>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</si>
  <si>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</si>
  <si>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</si>
  <si>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</si>
  <si>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</si>
  <si>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</si>
  <si>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</si>
  <si>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</si>
  <si>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</si>
  <si>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</si>
  <si>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</si>
  <si>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</si>
  <si>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</si>
  <si>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</si>
  <si>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</si>
  <si>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</si>
  <si>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</si>
  <si>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</si>
  <si>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</si>
  <si>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</si>
  <si>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</si>
  <si>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</si>
  <si>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</si>
  <si>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</si>
  <si>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</si>
  <si>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</si>
  <si>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</si>
  <si>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</si>
  <si>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</si>
  <si>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</si>
  <si>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</si>
  <si>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</si>
  <si>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</si>
  <si>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</si>
  <si>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</si>
  <si>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</si>
  <si>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</si>
  <si>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</si>
  <si>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</si>
  <si>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</si>
  <si>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</si>
  <si>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</si>
  <si>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</si>
  <si>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</si>
  <si>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</si>
  <si>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</si>
  <si>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</si>
  <si>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</si>
  <si>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</si>
  <si>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</si>
  <si>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</si>
  <si>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</si>
  <si>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</si>
  <si>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</si>
  <si>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</si>
  <si>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</si>
  <si>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</si>
  <si>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</si>
  <si>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</si>
  <si>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</si>
  <si>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</si>
  <si>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</si>
  <si>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</si>
  <si>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</si>
  <si>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</si>
  <si>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</si>
  <si>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</si>
  <si>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</si>
  <si>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</si>
  <si>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</si>
  <si>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</si>
  <si>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</si>
  <si>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</si>
  <si>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</si>
  <si>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</si>
  <si>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</si>
  <si>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</si>
  <si>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</si>
  <si>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</si>
  <si>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</si>
  <si>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</si>
  <si>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</si>
  <si>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</si>
  <si>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</si>
  <si>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</si>
  <si>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</si>
  <si>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</si>
  <si>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</si>
  <si>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</si>
  <si>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</si>
  <si>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</si>
  <si>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</si>
  <si>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</si>
  <si>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</si>
  <si>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</si>
  <si>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</si>
  <si>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</si>
  <si>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</si>
  <si>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</si>
  <si>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</si>
  <si>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</si>
  <si>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</si>
  <si>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</si>
  <si>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</si>
  <si>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</si>
  <si>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</si>
  <si>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</si>
  <si>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</si>
  <si>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</si>
  <si>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</si>
  <si>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</si>
  <si>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</si>
  <si>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</si>
  <si>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</si>
  <si>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</si>
  <si>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</si>
  <si>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</si>
  <si>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</si>
  <si>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</si>
  <si>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</si>
  <si>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</si>
  <si>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</si>
  <si>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</si>
  <si>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</si>
  <si>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</si>
  <si>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</si>
  <si>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</si>
  <si>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</si>
  <si>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</si>
  <si>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</si>
  <si>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</si>
  <si>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</si>
  <si>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</si>
  <si>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</si>
  <si>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</si>
  <si>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</si>
  <si>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</si>
  <si>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</si>
  <si>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</si>
  <si>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</si>
  <si>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</si>
  <si>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</si>
  <si>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</si>
  <si>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</si>
  <si>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</si>
  <si>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</si>
  <si>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</si>
  <si>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</si>
  <si>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</si>
  <si>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</si>
  <si>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</si>
  <si>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</si>
  <si>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</si>
  <si>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</si>
  <si>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</si>
  <si>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</si>
  <si>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</si>
  <si>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</si>
  <si>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</si>
  <si>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</si>
  <si>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</si>
  <si>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</si>
  <si>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</si>
  <si>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</si>
  <si>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</si>
  <si>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</si>
  <si>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</si>
  <si>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</si>
  <si>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</si>
  <si>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</si>
  <si>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</si>
  <si>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</si>
  <si>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</si>
  <si>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</si>
  <si>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</si>
  <si>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</si>
  <si>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</si>
  <si>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</si>
  <si>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</si>
  <si>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</si>
  <si>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</si>
  <si>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</si>
  <si>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</si>
  <si>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</si>
  <si>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</si>
  <si>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</si>
  <si>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</si>
  <si>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</si>
  <si>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</si>
  <si>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</si>
  <si>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</si>
  <si>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</si>
  <si>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</si>
  <si>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</si>
  <si>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</si>
  <si>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</si>
  <si>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</si>
  <si>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</si>
  <si>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</si>
  <si>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</si>
  <si>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</si>
  <si>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</si>
  <si>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</si>
  <si>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</si>
  <si>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</si>
  <si>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</si>
  <si>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</si>
  <si>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</si>
  <si>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</si>
  <si>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</si>
  <si>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</si>
  <si>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</si>
  <si>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</si>
  <si>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</si>
  <si>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</si>
  <si>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</si>
  <si>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</si>
  <si>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</si>
  <si>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</si>
  <si>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</si>
  <si>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</si>
  <si>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</si>
  <si>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</si>
  <si>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</si>
  <si>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</si>
  <si>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</si>
  <si>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</si>
  <si>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</si>
  <si>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</si>
  <si>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</si>
  <si>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</si>
  <si>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</si>
  <si>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</si>
  <si>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</si>
  <si>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DE_GKO03</t>
  </si>
  <si>
    <t>DE_GKO04</t>
  </si>
  <si>
    <t>DE_GHA03</t>
  </si>
  <si>
    <t>DE_GHA04</t>
  </si>
  <si>
    <t>DE_GBD03</t>
  </si>
  <si>
    <t>DE_GBD04</t>
  </si>
  <si>
    <t>DE_GBH03</t>
  </si>
  <si>
    <t>DE_GBH04</t>
  </si>
  <si>
    <t>DE_GWA03</t>
  </si>
  <si>
    <t>DE_GWA04</t>
  </si>
  <si>
    <t>DE_GGA03</t>
  </si>
  <si>
    <t>DE_GGA04</t>
  </si>
  <si>
    <t>DE_GBA04</t>
  </si>
  <si>
    <t>DE_GBA03</t>
  </si>
  <si>
    <t>DE_GGB03</t>
  </si>
  <si>
    <t>DE_GGB04</t>
  </si>
  <si>
    <t>DE_GPD03</t>
  </si>
  <si>
    <t>DE_GPD04</t>
  </si>
  <si>
    <t>DE_GMF03</t>
  </si>
  <si>
    <t>DE_GHD03</t>
  </si>
  <si>
    <t>DE_GHD04</t>
  </si>
  <si>
    <t>DE_HEF34</t>
  </si>
  <si>
    <t>DE_HMF34</t>
  </si>
  <si>
    <t>DE_GHA34</t>
  </si>
  <si>
    <t>DE_GMK34</t>
  </si>
  <si>
    <t>DE_GBD34</t>
  </si>
  <si>
    <t>DE_GBH34</t>
  </si>
  <si>
    <t>DE_GWA34</t>
  </si>
  <si>
    <t>DE_GGA34</t>
  </si>
  <si>
    <t>DE_GBA34</t>
  </si>
  <si>
    <t>DE_GGB34</t>
  </si>
  <si>
    <t>DE_GPD34</t>
  </si>
  <si>
    <t>DE_GMF34</t>
  </si>
  <si>
    <t>DE_GHD34</t>
  </si>
  <si>
    <t>GELSENWASSER Energienetze GmbH</t>
  </si>
  <si>
    <t>Christoph Magiera</t>
  </si>
  <si>
    <t>9870109500008</t>
  </si>
  <si>
    <t>Willy-Brandt-Allee 26</t>
  </si>
  <si>
    <t>Gelsenkirchen</t>
  </si>
  <si>
    <t>Christoph.Magiera@gw-energienetze.de</t>
  </si>
  <si>
    <t>0209/708-1334</t>
  </si>
  <si>
    <t>Münsterland</t>
  </si>
  <si>
    <t>Ostwestfalen</t>
  </si>
  <si>
    <t>Niederrhein</t>
  </si>
  <si>
    <t>Hünxe</t>
  </si>
  <si>
    <t>Kaarst</t>
  </si>
  <si>
    <t>Kalkar</t>
  </si>
  <si>
    <t>MeteoGroup Deutschland GmbH</t>
  </si>
  <si>
    <t>Essen</t>
  </si>
  <si>
    <t>WMO 10410</t>
  </si>
  <si>
    <t>WMO 10404</t>
  </si>
  <si>
    <t>Kevelaer</t>
  </si>
  <si>
    <t>Hünxe, Hamminkeln und Voerde</t>
  </si>
  <si>
    <t>NCLN007010950000</t>
  </si>
  <si>
    <t>Höxter, Holzminden</t>
  </si>
  <si>
    <t>Südwestfalen (Geseke)</t>
  </si>
  <si>
    <t>Sauerland (Finnentrop)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</si>
</sst>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</xf>
    <xf numFmtId="190" fontId="0" fillId="72" borderId="51" xfId="0" applyNumberFormat="1" applyFont="1" applyFill="1" applyBorder="1" applyAlignment="1" applyProtection="1">
      <alignment horizontal="center" vertical="center"/>
    </xf>
    <xf numFmtId="190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7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6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Fill="1" applyBorder="1" applyAlignment="1" applyProtection="1">
      <alignment horizontal="left" vertical="center"/>
    </xf>
    <xf numFmtId="193" fontId="0" fillId="0" borderId="17" xfId="0" applyNumberFormat="1" applyFont="1" applyFill="1" applyBorder="1" applyAlignment="1" applyProtection="1">
      <alignment horizontal="left" vertical="center"/>
      <protection locked="0"/>
    </xf>
    <xf numFmtId="193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3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Border="1" applyAlignment="1" applyProtection="1">
      <alignment horizontal="center" vertical="center"/>
    </xf>
    <xf numFmtId="193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2" fontId="0" fillId="72" borderId="78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88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799147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25" zeroHeight="1"/>
  <cols>
    <col min="1" max="1" width="2.86328125" customWidth="1"/>
    <col min="2" max="15" width="11.3984375" customWidth="1"/>
    <col min="16" max="16384" width="11.398437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5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3984375" defaultRowHeight="14.25"/>
  <cols>
    <col min="1" max="1" width="9.73046875" style="254" customWidth="1"/>
    <col min="2" max="2" width="7" style="255" customWidth="1"/>
    <col min="3" max="3" width="27.73046875" style="234" customWidth="1"/>
    <col min="4" max="10" width="8.86328125" style="234" customWidth="1"/>
    <col min="11" max="14" width="11.3984375" style="234" customWidth="1"/>
    <col min="15" max="15" width="12.265625" style="128" customWidth="1"/>
    <col min="16" max="16" width="16.59765625" style="234" customWidth="1"/>
    <col min="17" max="16384" width="11.3984375" style="234"/>
  </cols>
  <sheetData>
    <row r="1" spans="1:16" s="233" customFormat="1">
      <c r="A1" s="131" t="s">
        <v>458</v>
      </c>
      <c r="B1" s="128"/>
      <c r="D1" s="214" t="s">
        <v>547</v>
      </c>
    </row>
    <row r="2" spans="1:16">
      <c r="A2" s="234"/>
      <c r="B2" s="233" t="s">
        <v>459</v>
      </c>
    </row>
    <row r="3" spans="1:16" ht="20.100000000000001" customHeight="1">
      <c r="A3" s="348" t="s">
        <v>248</v>
      </c>
      <c r="B3" s="235" t="s">
        <v>86</v>
      </c>
      <c r="C3" s="236"/>
      <c r="D3" s="350" t="s">
        <v>460</v>
      </c>
      <c r="E3" s="351"/>
      <c r="F3" s="351"/>
      <c r="G3" s="351"/>
      <c r="H3" s="351"/>
      <c r="I3" s="351"/>
      <c r="J3" s="352"/>
      <c r="K3" s="237"/>
      <c r="L3" s="237"/>
      <c r="M3" s="237"/>
      <c r="N3" s="237"/>
      <c r="O3" s="238"/>
      <c r="P3" s="237"/>
    </row>
    <row r="4" spans="1:16" ht="20.100000000000001" customHeight="1">
      <c r="A4" s="349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" priority="2" stopIfTrue="1" operator="equal">
      <formula>$M7</formula>
    </cfRule>
  </conditionalFormatting>
  <conditionalFormatting sqref="D9:J9">
    <cfRule type="cellIs" dxfId="2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70" zoomScaleNormal="70" workbookViewId="0">
      <selection activeCell="D7" sqref="D7"/>
    </sheetView>
  </sheetViews>
  <sheetFormatPr baseColWidth="10" defaultColWidth="0" defaultRowHeight="14.25" zeroHeight="1"/>
  <cols>
    <col min="1" max="1" width="2.86328125" style="8" customWidth="1"/>
    <col min="2" max="2" width="5.86328125" style="2" customWidth="1"/>
    <col min="3" max="3" width="65" customWidth="1"/>
    <col min="4" max="4" width="49.1328125" customWidth="1"/>
    <col min="5" max="5" width="11.3984375" customWidth="1"/>
    <col min="6" max="6" width="75.73046875" hidden="1" customWidth="1"/>
    <col min="7" max="16384" width="11.3984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44133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44197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691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6" t="s">
        <v>693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694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45891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695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692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696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697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9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422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Niederrhein</v>
      </c>
      <c r="E28" s="38"/>
      <c r="F28" s="11"/>
      <c r="G28" s="2"/>
    </row>
    <row r="29" spans="1:15">
      <c r="B29" s="15"/>
      <c r="C29" s="22" t="s">
        <v>396</v>
      </c>
      <c r="D29" s="45" t="s">
        <v>698</v>
      </c>
      <c r="E29" s="40"/>
      <c r="F29" s="11"/>
      <c r="G29" s="2"/>
    </row>
    <row r="30" spans="1:15">
      <c r="B30" s="15"/>
      <c r="C30" s="22" t="s">
        <v>397</v>
      </c>
      <c r="D30" s="46" t="s">
        <v>699</v>
      </c>
      <c r="E30" s="40"/>
      <c r="F30" s="47"/>
      <c r="G30" s="2"/>
    </row>
    <row r="31" spans="1:15">
      <c r="B31" s="15"/>
      <c r="C31" s="22" t="s">
        <v>422</v>
      </c>
      <c r="D31" s="45" t="s">
        <v>700</v>
      </c>
      <c r="E31" s="40"/>
      <c r="F31" s="47"/>
      <c r="G31" s="2"/>
    </row>
    <row r="32" spans="1:15">
      <c r="B32" s="15"/>
      <c r="C32" s="22" t="s">
        <v>423</v>
      </c>
      <c r="D32" s="46" t="s">
        <v>711</v>
      </c>
      <c r="E32" s="40"/>
      <c r="F32" s="47"/>
      <c r="G32" s="2"/>
    </row>
    <row r="33" spans="2:7">
      <c r="B33" s="15"/>
      <c r="C33" s="22" t="s">
        <v>424</v>
      </c>
      <c r="D33" s="46" t="s">
        <v>701</v>
      </c>
      <c r="E33" s="40"/>
      <c r="F33" s="47"/>
      <c r="G33" s="2"/>
    </row>
    <row r="34" spans="2:7">
      <c r="B34" s="15"/>
      <c r="C34" s="22" t="s">
        <v>425</v>
      </c>
      <c r="D34" s="46" t="s">
        <v>702</v>
      </c>
      <c r="E34" s="40"/>
      <c r="F34" s="47"/>
      <c r="G34" s="2"/>
    </row>
    <row r="35" spans="2:7">
      <c r="B35" s="15"/>
      <c r="C35" s="22" t="s">
        <v>426</v>
      </c>
      <c r="D35" s="46" t="s">
        <v>703</v>
      </c>
      <c r="E35" s="40"/>
      <c r="F35" s="47"/>
      <c r="G35" s="2"/>
    </row>
    <row r="36" spans="2:7">
      <c r="B36" s="15"/>
      <c r="C36" s="22" t="s">
        <v>427</v>
      </c>
      <c r="D36" s="46" t="s">
        <v>712</v>
      </c>
      <c r="E36" s="40"/>
      <c r="F36" s="47"/>
      <c r="G36" s="2"/>
    </row>
    <row r="37" spans="2:7">
      <c r="B37" s="15"/>
      <c r="C37" s="22" t="s">
        <v>428</v>
      </c>
      <c r="D37" s="353" t="s">
        <v>713</v>
      </c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8:D48">
    <cfRule type="expression" dxfId="87" priority="6">
      <formula>IF(CELL("Zeile",D38)&lt;$D$25+CELL("Zeile",$D$29),1,0)</formula>
    </cfRule>
  </conditionalFormatting>
  <conditionalFormatting sqref="D38:D48">
    <cfRule type="expression" dxfId="86" priority="5">
      <formula>IF(CELL(D38)&lt;$D$27+27,1,0)</formula>
    </cfRule>
  </conditionalFormatting>
  <conditionalFormatting sqref="D29:D36">
    <cfRule type="expression" dxfId="85" priority="4">
      <formula>IF(CELL("Zeile",D29)&lt;$D$25+CELL("Zeile",$D$29),1,0)</formula>
    </cfRule>
  </conditionalFormatting>
  <conditionalFormatting sqref="D30:D36">
    <cfRule type="expression" dxfId="84" priority="3">
      <formula>IF(CELL(D30)&lt;$D$27+27,1,0)</formula>
    </cfRule>
  </conditionalFormatting>
  <conditionalFormatting sqref="D37">
    <cfRule type="expression" dxfId="1" priority="2">
      <formula>IF(CELL("Zeile",D37)&lt;$D$25+CELL("Zeile",$D$29),1,0)</formula>
    </cfRule>
  </conditionalFormatting>
  <conditionalFormatting sqref="D37">
    <cfRule type="expression" dxfId="0" priority="1">
      <formula>IF(CELL(D37)&lt;$D$27+27,1,0)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abSelected="1" topLeftCell="A4" zoomScale="70" zoomScaleNormal="70" workbookViewId="0">
      <selection activeCell="D15" sqref="D15"/>
    </sheetView>
  </sheetViews>
  <sheetFormatPr baseColWidth="10" defaultColWidth="0" defaultRowHeight="18" customHeight="1"/>
  <cols>
    <col min="1" max="1" width="2.86328125" style="8" customWidth="1"/>
    <col min="2" max="2" width="5.86328125" style="8" customWidth="1"/>
    <col min="3" max="3" width="51.3984375" style="8" customWidth="1"/>
    <col min="4" max="4" width="33.1328125" style="8" customWidth="1"/>
    <col min="5" max="5" width="26.59765625" style="8" customWidth="1"/>
    <col min="6" max="39" width="8.86328125" style="13" hidden="1" customWidth="1"/>
    <col min="40" max="16384" width="8.86328125" style="8" hidden="1"/>
  </cols>
  <sheetData>
    <row r="1" spans="2:15" ht="75" customHeight="1"/>
    <row r="2" spans="2:15" ht="23.25">
      <c r="B2" s="9" t="s">
        <v>269</v>
      </c>
    </row>
    <row r="3" spans="2:15" ht="14.25"/>
    <row r="4" spans="2:15" ht="14.2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GELSENWASSER Energienetze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Niederrhein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6" t="str">
        <f>Netzbetreiber!$D$11</f>
        <v>9870109500008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44197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619</v>
      </c>
      <c r="E13" s="15"/>
      <c r="H13" s="272" t="s">
        <v>618</v>
      </c>
      <c r="I13" s="272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710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577</v>
      </c>
      <c r="I19" s="271" t="s">
        <v>491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492</v>
      </c>
      <c r="I20" s="271" t="s">
        <v>493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8" t="s">
        <v>611</v>
      </c>
      <c r="I22" s="268" t="s">
        <v>612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8" t="s">
        <v>614</v>
      </c>
      <c r="I23" s="8" t="s">
        <v>610</v>
      </c>
      <c r="J23" s="8"/>
      <c r="K23" s="8"/>
      <c r="L23" s="269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8" t="s">
        <v>613</v>
      </c>
      <c r="I24" s="268" t="s">
        <v>620</v>
      </c>
      <c r="J24" s="8"/>
      <c r="K24" s="8"/>
      <c r="L24" s="271" t="s">
        <v>621</v>
      </c>
      <c r="M24" s="271" t="s">
        <v>623</v>
      </c>
      <c r="N24" s="271" t="s">
        <v>622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580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624</v>
      </c>
      <c r="D27" s="42" t="s">
        <v>625</v>
      </c>
      <c r="E27" s="15"/>
      <c r="H27" s="295" t="s">
        <v>625</v>
      </c>
      <c r="I27" s="270" t="s">
        <v>626</v>
      </c>
      <c r="J27" s="270" t="s">
        <v>627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71" t="s">
        <v>628</v>
      </c>
      <c r="I28" s="271" t="s">
        <v>629</v>
      </c>
      <c r="J28" s="271" t="s">
        <v>630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71" t="s">
        <v>631</v>
      </c>
      <c r="I29" s="271" t="s">
        <v>632</v>
      </c>
      <c r="J29" s="271" t="s">
        <v>633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634</v>
      </c>
      <c r="I32" s="271" t="s">
        <v>635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636</v>
      </c>
      <c r="I33" s="268" t="s">
        <v>631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551</v>
      </c>
      <c r="C35" s="24" t="s">
        <v>498</v>
      </c>
      <c r="D35" s="42">
        <v>40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552</v>
      </c>
      <c r="C37" s="5" t="s">
        <v>366</v>
      </c>
      <c r="D37" s="34">
        <v>1500000</v>
      </c>
      <c r="E37" s="15" t="s">
        <v>509</v>
      </c>
      <c r="I37" s="268"/>
      <c r="J37" s="268"/>
      <c r="K37" s="268"/>
      <c r="L37" s="268"/>
      <c r="M37" s="269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367</v>
      </c>
      <c r="D40" s="36">
        <v>700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2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>
        <f t="shared" ref="I47:V47" si="0">IF(I46&lt;=$D$46,I46,"")</f>
        <v>2</v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708</v>
      </c>
    </row>
    <row r="49" spans="3:4" ht="18" customHeight="1">
      <c r="C49" s="22" t="s">
        <v>589</v>
      </c>
      <c r="D49" s="45" t="s">
        <v>709</v>
      </c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sheetProtection sheet="1" objects="1" scenarios="1"/>
  <conditionalFormatting sqref="D15">
    <cfRule type="expression" dxfId="83" priority="21">
      <formula>IF($D$11="Gaspool",1,0)</formula>
    </cfRule>
  </conditionalFormatting>
  <conditionalFormatting sqref="D16">
    <cfRule type="expression" dxfId="82" priority="18">
      <formula>IF($D$11="NCG",1,0)</formula>
    </cfRule>
  </conditionalFormatting>
  <conditionalFormatting sqref="D48:D62">
    <cfRule type="expression" dxfId="81" priority="17">
      <formula>IF(CELL("Zeile",D48)&lt;$D$46+CELL("Zeile",$D$48),1,0)</formula>
    </cfRule>
  </conditionalFormatting>
  <conditionalFormatting sqref="D49:D62">
    <cfRule type="expression" dxfId="80" priority="16">
      <formula>IF(CELL(D49)&lt;$D$36+27,1,0)</formula>
    </cfRule>
  </conditionalFormatting>
  <conditionalFormatting sqref="D23">
    <cfRule type="expression" dxfId="79" priority="15">
      <formula>IF($D$22=$H$22,1,0)</formula>
    </cfRule>
  </conditionalFormatting>
  <conditionalFormatting sqref="D31">
    <cfRule type="expression" dxfId="78" priority="4">
      <formula>IF($D$18="synthetisch",1,0)</formula>
    </cfRule>
  </conditionalFormatting>
  <conditionalFormatting sqref="D28">
    <cfRule type="expression" dxfId="77" priority="2">
      <formula>IF(AND($D$27=$I$27,$D$26=$H$26),1,0)</formula>
    </cfRule>
  </conditionalFormatting>
  <conditionalFormatting sqref="D26:D28">
    <cfRule type="expression" dxfId="76" priority="5">
      <formula>IF($D$18="analytisch",1,0)</formula>
    </cfRule>
  </conditionalFormatting>
  <conditionalFormatting sqref="D27">
    <cfRule type="expression" dxfId="75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XFC78"/>
  <sheetViews>
    <sheetView showGridLines="0" zoomScale="85" zoomScaleNormal="85" workbookViewId="0">
      <selection activeCell="J22" sqref="J22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 ht="14.25">
      <c r="B4" s="130"/>
      <c r="C4" s="56" t="s">
        <v>448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 ht="14.25">
      <c r="B5" s="130"/>
      <c r="C5" s="56" t="s">
        <v>447</v>
      </c>
      <c r="D5" s="57"/>
      <c r="E5" s="58" t="str">
        <f>Netzbetreiber!D28</f>
        <v>Niederrhein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490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525</v>
      </c>
      <c r="D9" s="130"/>
      <c r="E9" s="130"/>
      <c r="F9" s="154">
        <f>'SLP-Verfahren'!D46</f>
        <v>2</v>
      </c>
      <c r="H9" s="172" t="s">
        <v>603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587</v>
      </c>
      <c r="D10" s="130"/>
      <c r="E10" s="130"/>
      <c r="F10" s="49">
        <v>2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605</v>
      </c>
      <c r="D11" s="130"/>
      <c r="E11" s="130"/>
      <c r="F11" s="330" t="str">
        <f>INDEX('SLP-Verfahren'!D48:D62,'SLP-Temp-Gebiet #Hünxe'!F10)</f>
        <v>Hünxe, Hamminkeln und Voerde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8" t="s">
        <v>586</v>
      </c>
      <c r="D13" s="338"/>
      <c r="E13" s="338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451</v>
      </c>
      <c r="D14" s="339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9" t="s">
        <v>388</v>
      </c>
      <c r="D15" s="339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337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337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528</v>
      </c>
      <c r="D21" s="153" t="s">
        <v>518</v>
      </c>
      <c r="E21" s="279">
        <f>1-SUMPRODUCT(F19:N19,F21:N21)</f>
        <v>0.7</v>
      </c>
      <c r="F21" s="279">
        <f>ROUND(F22/$D$22,4)</f>
        <v>0.3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539</v>
      </c>
      <c r="D22" s="185">
        <f>SUMPRODUCT(E22:N22,E19:N19)</f>
        <v>1</v>
      </c>
      <c r="E22" s="281">
        <v>0.7</v>
      </c>
      <c r="F22" s="281">
        <v>0.3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704</v>
      </c>
      <c r="F23" s="156" t="s">
        <v>704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523</v>
      </c>
      <c r="D24" s="187"/>
      <c r="E24" s="156" t="s">
        <v>703</v>
      </c>
      <c r="F24" s="156" t="s">
        <v>705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517</v>
      </c>
      <c r="D25" s="187"/>
      <c r="E25" s="160" t="s">
        <v>707</v>
      </c>
      <c r="F25" s="160" t="s">
        <v>706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528</v>
      </c>
      <c r="D55" s="153" t="s">
        <v>518</v>
      </c>
      <c r="E55" s="277">
        <f>1-SUMPRODUCT(F53:N53,F55:N55)</f>
        <v>0.7</v>
      </c>
      <c r="F55" s="277">
        <f>ROUND(F56/$D$56,4)</f>
        <v>0.3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539</v>
      </c>
      <c r="D56" s="185">
        <f>SUMPRODUCT(E56:N56,E53:N53)</f>
        <v>1</v>
      </c>
      <c r="E56" s="278">
        <f>E22</f>
        <v>0.7</v>
      </c>
      <c r="F56" s="278">
        <f t="shared" ref="F56:N60" si="6">F22</f>
        <v>0.3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MeteoGroup Deutschland GmbH</v>
      </c>
      <c r="F57" s="156" t="str">
        <f t="shared" si="6"/>
        <v>MeteoGroup Deutschland GmbH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523</v>
      </c>
      <c r="D58" s="187"/>
      <c r="E58" s="156" t="str">
        <f>E24</f>
        <v>Kalkar</v>
      </c>
      <c r="F58" s="156" t="str">
        <f t="shared" si="6"/>
        <v>Essen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517</v>
      </c>
      <c r="D59" s="187"/>
      <c r="E59" s="160" t="str">
        <f>E25</f>
        <v>WMO 10404</v>
      </c>
      <c r="F59" s="160" t="str">
        <f t="shared" si="6"/>
        <v>WMO 10410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607</v>
      </c>
      <c r="D69" s="153" t="s">
        <v>608</v>
      </c>
      <c r="E69" s="159" t="s">
        <v>606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40" t="s">
        <v>582</v>
      </c>
      <c r="D72" s="340"/>
      <c r="E72" s="340"/>
      <c r="F72" s="340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73" priority="18">
      <formula>IF(E$20&lt;=$F$18,1,0)</formula>
    </cfRule>
  </conditionalFormatting>
  <conditionalFormatting sqref="E32:N36">
    <cfRule type="expression" dxfId="72" priority="17">
      <formula>IF(E$30&lt;=$F$28,1,0)</formula>
    </cfRule>
  </conditionalFormatting>
  <conditionalFormatting sqref="E26:F26">
    <cfRule type="expression" dxfId="71" priority="16">
      <formula>IF(E$20&lt;=$F$18,1,0)</formula>
    </cfRule>
  </conditionalFormatting>
  <conditionalFormatting sqref="E26:N26">
    <cfRule type="expression" dxfId="70" priority="15">
      <formula>IF(E$20&lt;=$F$18,1,0)</formula>
    </cfRule>
  </conditionalFormatting>
  <conditionalFormatting sqref="E56:N59">
    <cfRule type="expression" dxfId="69" priority="14">
      <formula>IF(E$54&lt;=$F$52,1,0)</formula>
    </cfRule>
  </conditionalFormatting>
  <conditionalFormatting sqref="E60:N60">
    <cfRule type="expression" dxfId="68" priority="13">
      <formula>IF(E$54&lt;=$F$52,1,0)</formula>
    </cfRule>
  </conditionalFormatting>
  <conditionalFormatting sqref="E66:N68">
    <cfRule type="expression" dxfId="67" priority="12">
      <formula>IF(E$64&lt;=$F$62,1,0)</formula>
    </cfRule>
  </conditionalFormatting>
  <conditionalFormatting sqref="E65:N68 E70:N70">
    <cfRule type="expression" dxfId="66" priority="11">
      <formula>IF(E$64&gt;$F$62,1,0)</formula>
    </cfRule>
  </conditionalFormatting>
  <conditionalFormatting sqref="E56:N60">
    <cfRule type="expression" dxfId="65" priority="10">
      <formula>IF(E$54&gt;$F$52,1,0)</formula>
    </cfRule>
  </conditionalFormatting>
  <conditionalFormatting sqref="E21:N26">
    <cfRule type="expression" dxfId="64" priority="9">
      <formula>IF(E$20&gt;$F$18,1,0)</formula>
    </cfRule>
  </conditionalFormatting>
  <conditionalFormatting sqref="E32:N36">
    <cfRule type="expression" dxfId="63" priority="8">
      <formula>IF(E$30&gt;$F$28,1,0)</formula>
    </cfRule>
  </conditionalFormatting>
  <conditionalFormatting sqref="H11 H8:H9">
    <cfRule type="expression" dxfId="62" priority="7">
      <formula>IF($F$9=1,1,0)</formula>
    </cfRule>
  </conditionalFormatting>
  <conditionalFormatting sqref="E55:N55">
    <cfRule type="expression" dxfId="61" priority="6">
      <formula>IF(E$54&gt;$F$52,1,0)</formula>
    </cfRule>
  </conditionalFormatting>
  <conditionalFormatting sqref="E31:N31">
    <cfRule type="expression" dxfId="60" priority="5">
      <formula>IF(E$30&gt;$F$28,1,0)</formula>
    </cfRule>
  </conditionalFormatting>
  <conditionalFormatting sqref="E70:N70">
    <cfRule type="expression" dxfId="59" priority="4">
      <formula>IF(E$64&lt;=$F$62,1,0)</formula>
    </cfRule>
  </conditionalFormatting>
  <conditionalFormatting sqref="H10">
    <cfRule type="expression" dxfId="58" priority="3">
      <formula>IF($F$9=1,1,0)</formula>
    </cfRule>
  </conditionalFormatting>
  <conditionalFormatting sqref="E69:N69">
    <cfRule type="expression" dxfId="57" priority="2">
      <formula>IF(E$64&lt;=$F$62,1,0)</formula>
    </cfRule>
  </conditionalFormatting>
  <conditionalFormatting sqref="E69:N69">
    <cfRule type="expression" dxfId="56" priority="1">
      <formula>IF(E$64&gt;$F$62,1,0)</formula>
    </cfRule>
  </conditionalFormatting>
  <dataValidations count="13">
    <dataValidation type="list" allowBlank="1" showInputMessage="1" showErrorMessage="1" sqref="E35:N35 E69:N69" xr:uid="{00000000-0002-0000-0300-000000000000}">
      <formula1>$R$35:$S$35</formula1>
    </dataValidation>
    <dataValidation type="list" allowBlank="1" showInputMessage="1" showErrorMessage="1" sqref="G14:G15" xr:uid="{00000000-0002-0000-0300-000001000000}">
      <formula1>$R$14:$AC$14</formula1>
    </dataValidation>
    <dataValidation type="list" allowBlank="1" showInputMessage="1" showErrorMessage="1" sqref="F14:F15" xr:uid="{00000000-0002-0000-0300-000002000000}">
      <formula1>$R$15:$AV$15</formula1>
    </dataValidation>
    <dataValidation type="list" allowBlank="1" showInputMessage="1" showErrorMessage="1" sqref="F62" xr:uid="{00000000-0002-0000-0300-000003000000}">
      <formula1>$E$64:$N$64</formula1>
    </dataValidation>
    <dataValidation type="list" allowBlank="1" showInputMessage="1" showErrorMessage="1" sqref="F28" xr:uid="{00000000-0002-0000-0300-000004000000}">
      <formula1>$E$30:$N$30</formula1>
    </dataValidation>
    <dataValidation type="list" allowBlank="1" showInputMessage="1" showErrorMessage="1" sqref="F18" xr:uid="{00000000-0002-0000-0300-000005000000}">
      <formula1>$E$20:$N$20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E23:N23 E57:N57" xr:uid="{00000000-0002-0000-0300-000007000000}">
      <formula1>$R$23:$T$23</formula1>
    </dataValidation>
    <dataValidation type="list" allowBlank="1" showInputMessage="1" showErrorMessage="1" sqref="E34:N34 E68:N68" xr:uid="{00000000-0002-0000-03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300-000009000000}">
      <formula1>$R$33:$AB$33</formula1>
    </dataValidation>
    <dataValidation type="list" allowBlank="1" showInputMessage="1" showErrorMessage="1" sqref="E26:N26 E60:N60" xr:uid="{00000000-0002-0000-0300-00000A000000}">
      <formula1>$R$26:$S$26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whole" allowBlank="1" showInputMessage="1" showErrorMessage="1" sqref="F9" xr:uid="{00000000-0002-0000-0300-00000C000000}">
      <formula1>1</formula1>
      <formula2>20</formula2>
    </dataValidation>
  </dataValidations>
  <pageMargins left="0.25" right="0.25" top="0.75" bottom="0.75" header="0.3" footer="0.3"/>
  <pageSetup paperSize="9" scale="4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tabColor rgb="FFFF0000"/>
    <pageSetUpPr fitToPage="1"/>
  </sheetPr>
  <dimension ref="A1:XFC78"/>
  <sheetViews>
    <sheetView showGridLines="0" zoomScale="85" zoomScaleNormal="85" workbookViewId="0">
      <selection activeCell="H38" sqref="H38"/>
    </sheetView>
  </sheetViews>
  <sheetFormatPr baseColWidth="10" defaultColWidth="0" defaultRowHeight="14.25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>
      <c r="B4" s="130"/>
      <c r="C4" s="56" t="s">
        <v>448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Niederrhein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2</v>
      </c>
      <c r="H9" s="172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0" t="str">
        <f>INDEX('SLP-Verfahren'!D48:D62,'SLP-Temp-Gebiet #Kevelaer'!F10)</f>
        <v>Kevelaer</v>
      </c>
      <c r="G11" s="330"/>
      <c r="H11" s="287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8" t="s">
        <v>586</v>
      </c>
      <c r="D13" s="338"/>
      <c r="E13" s="338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451</v>
      </c>
      <c r="D14" s="339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9" t="s">
        <v>388</v>
      </c>
      <c r="D15" s="339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526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528</v>
      </c>
      <c r="D21" s="153" t="s">
        <v>518</v>
      </c>
      <c r="E21" s="279">
        <f>1-SUMPRODUCT(F19:N19,F21:N21)</f>
        <v>1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539</v>
      </c>
      <c r="D22" s="185">
        <f>SUMPRODUCT(E22:N22,E19:N19)</f>
        <v>1</v>
      </c>
      <c r="E22" s="281">
        <v>1</v>
      </c>
      <c r="F22" s="281">
        <v>0.5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704</v>
      </c>
      <c r="F23" s="156" t="s">
        <v>704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523</v>
      </c>
      <c r="D24" s="187"/>
      <c r="E24" s="156" t="s">
        <v>703</v>
      </c>
      <c r="F24" s="156" t="s">
        <v>705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 t="s">
        <v>707</v>
      </c>
      <c r="F25" s="160" t="s">
        <v>706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528</v>
      </c>
      <c r="D55" s="153" t="s">
        <v>518</v>
      </c>
      <c r="E55" s="277">
        <f>1-SUMPRODUCT(F53:N53,F55:N55)</f>
        <v>1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539</v>
      </c>
      <c r="D56" s="185">
        <f>SUMPRODUCT(E56:N56,E53:N53)</f>
        <v>1</v>
      </c>
      <c r="E56" s="278">
        <f>E22</f>
        <v>1</v>
      </c>
      <c r="F56" s="278">
        <f t="shared" ref="F56:N56" si="6">F22</f>
        <v>0.5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 Deutschland GmbH</v>
      </c>
      <c r="F57" s="156" t="str">
        <f t="shared" ref="F57:N57" si="7">F23</f>
        <v>MeteoGroup Deutschland GmbH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523</v>
      </c>
      <c r="D58" s="187"/>
      <c r="E58" s="156" t="str">
        <f>E24</f>
        <v>Kalkar</v>
      </c>
      <c r="F58" s="156" t="str">
        <f t="shared" ref="F58:N58" si="8">F24</f>
        <v>Essen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 t="str">
        <f>E25</f>
        <v>WMO 10404</v>
      </c>
      <c r="F59" s="160" t="str">
        <f t="shared" ref="F59:N59" si="9">F25</f>
        <v>WMO 10410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12">ROUND(G66/$D$66,4)</f>
        <v>0.1333</v>
      </c>
      <c r="H65" s="277">
        <f t="shared" si="12"/>
        <v>6.6699999999999995E-2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4"/>
    </row>
    <row r="66" spans="2:1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607</v>
      </c>
      <c r="D69" s="153" t="s">
        <v>608</v>
      </c>
      <c r="E69" s="159" t="s">
        <v>606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40" t="s">
        <v>582</v>
      </c>
      <c r="D72" s="340"/>
      <c r="E72" s="340"/>
      <c r="F72" s="34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5" priority="28">
      <formula>IF(E$20&lt;=$F$18,1,0)</formula>
    </cfRule>
  </conditionalFormatting>
  <conditionalFormatting sqref="E32:N36">
    <cfRule type="expression" dxfId="54" priority="27">
      <formula>IF(E$30&lt;=$F$28,1,0)</formula>
    </cfRule>
  </conditionalFormatting>
  <conditionalFormatting sqref="E26:F26">
    <cfRule type="expression" dxfId="53" priority="26">
      <formula>IF(E$20&lt;=$F$18,1,0)</formula>
    </cfRule>
  </conditionalFormatting>
  <conditionalFormatting sqref="E26:N26">
    <cfRule type="expression" dxfId="52" priority="25">
      <formula>IF(E$20&lt;=$F$18,1,0)</formula>
    </cfRule>
  </conditionalFormatting>
  <conditionalFormatting sqref="E56:N59">
    <cfRule type="expression" dxfId="51" priority="22">
      <formula>IF(E$54&lt;=$F$52,1,0)</formula>
    </cfRule>
  </conditionalFormatting>
  <conditionalFormatting sqref="E60:N60">
    <cfRule type="expression" dxfId="50" priority="21">
      <formula>IF(E$54&lt;=$F$52,1,0)</formula>
    </cfRule>
  </conditionalFormatting>
  <conditionalFormatting sqref="E66:N68">
    <cfRule type="expression" dxfId="49" priority="15">
      <formula>IF(E$64&lt;=$F$62,1,0)</formula>
    </cfRule>
  </conditionalFormatting>
  <conditionalFormatting sqref="E65:N68 E70:N70">
    <cfRule type="expression" dxfId="48" priority="13">
      <formula>IF(E$64&gt;$F$62,1,0)</formula>
    </cfRule>
  </conditionalFormatting>
  <conditionalFormatting sqref="E56:N60">
    <cfRule type="expression" dxfId="47" priority="12">
      <formula>IF(E$54&gt;$F$52,1,0)</formula>
    </cfRule>
  </conditionalFormatting>
  <conditionalFormatting sqref="E21:N26">
    <cfRule type="expression" dxfId="46" priority="11">
      <formula>IF(E$20&gt;$F$18,1,0)</formula>
    </cfRule>
  </conditionalFormatting>
  <conditionalFormatting sqref="E32:N36">
    <cfRule type="expression" dxfId="45" priority="10">
      <formula>IF(E$30&gt;$F$28,1,0)</formula>
    </cfRule>
  </conditionalFormatting>
  <conditionalFormatting sqref="H11 H8:H9">
    <cfRule type="expression" dxfId="44" priority="9">
      <formula>IF($F$9=1,1,0)</formula>
    </cfRule>
  </conditionalFormatting>
  <conditionalFormatting sqref="E55:N55">
    <cfRule type="expression" dxfId="43" priority="8">
      <formula>IF(E$54&gt;$F$52,1,0)</formula>
    </cfRule>
  </conditionalFormatting>
  <conditionalFormatting sqref="E31:N31">
    <cfRule type="expression" dxfId="42" priority="7">
      <formula>IF(E$30&gt;$F$28,1,0)</formula>
    </cfRule>
  </conditionalFormatting>
  <conditionalFormatting sqref="E70:N70">
    <cfRule type="expression" dxfId="41" priority="6">
      <formula>IF(E$64&lt;=$F$62,1,0)</formula>
    </cfRule>
  </conditionalFormatting>
  <conditionalFormatting sqref="H10">
    <cfRule type="expression" dxfId="40" priority="5">
      <formula>IF($F$9=1,1,0)</formula>
    </cfRule>
  </conditionalFormatting>
  <conditionalFormatting sqref="E69:N69">
    <cfRule type="expression" dxfId="39" priority="2">
      <formula>IF(E$64&lt;=$F$62,1,0)</formula>
    </cfRule>
  </conditionalFormatting>
  <conditionalFormatting sqref="E69:N69">
    <cfRule type="expression" dxfId="38" priority="1">
      <formula>IF(E$64&gt;$F$62,1,0)</formula>
    </cfRule>
  </conditionalFormatting>
  <dataValidations count="13">
    <dataValidation type="whole" allowBlank="1" showInputMessage="1" showErrorMessage="1" sqref="F9" xr:uid="{00000000-0002-0000-0400-000000000000}">
      <formula1>1</formula1>
      <formula2>20</formula2>
    </dataValidation>
    <dataValidation type="list" allowBlank="1" showInputMessage="1" showErrorMessage="1" sqref="E36:N36 E70:N70" xr:uid="{00000000-0002-0000-0400-000001000000}">
      <formula1>$R$36:$S$36</formula1>
    </dataValidation>
    <dataValidation type="list" allowBlank="1" showInputMessage="1" showErrorMessage="1" sqref="E26:N26 E60:N60" xr:uid="{00000000-0002-0000-04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400-000003000000}">
      <formula1>$R$33:$AB$33</formula1>
    </dataValidation>
    <dataValidation type="list" allowBlank="1" showInputMessage="1" showErrorMessage="1" sqref="E34:N34 E68:N68" xr:uid="{00000000-0002-0000-0400-000004000000}">
      <formula1>$R$34:$S$34</formula1>
    </dataValidation>
    <dataValidation type="list" allowBlank="1" showInputMessage="1" showErrorMessage="1" sqref="E23:N23 E57:N57" xr:uid="{00000000-0002-0000-0400-000005000000}">
      <formula1>$R$23:$T$23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F18" xr:uid="{00000000-0002-0000-0400-000007000000}">
      <formula1>$E$20:$N$20</formula1>
    </dataValidation>
    <dataValidation type="list" allowBlank="1" showInputMessage="1" showErrorMessage="1" sqref="F28" xr:uid="{00000000-0002-0000-0400-000008000000}">
      <formula1>$E$30:$N$30</formula1>
    </dataValidation>
    <dataValidation type="list" allowBlank="1" showInputMessage="1" showErrorMessage="1" sqref="F62" xr:uid="{00000000-0002-0000-0400-000009000000}">
      <formula1>$E$64:$N$64</formula1>
    </dataValidation>
    <dataValidation type="list" allowBlank="1" showInputMessage="1" showErrorMessage="1" sqref="F14:F15" xr:uid="{00000000-0002-0000-0400-00000A000000}">
      <formula1>$R$15:$AV$15</formula1>
    </dataValidation>
    <dataValidation type="list" allowBlank="1" showInputMessage="1" showErrorMessage="1" sqref="G14:G15" xr:uid="{00000000-0002-0000-0400-00000B000000}">
      <formula1>$R$14:$AC$14</formula1>
    </dataValidation>
    <dataValidation type="list" allowBlank="1" showInputMessage="1" showErrorMessage="1" sqref="E35:N35 E69:N69" xr:uid="{00000000-0002-0000-0400-00000C000000}">
      <formula1>$R$35:$S$35</formula1>
    </dataValidation>
  </dataValidations>
  <pageMargins left="0.25" right="0.25" top="0.75" bottom="0.75" header="0.3" footer="0.3"/>
  <pageSetup paperSize="9" scale="40" orientation="landscape" r:id="rId1"/>
  <ignoredErrors>
    <ignoredError sqref="E66:N68 E36:N36 F26:N26 E56:N60 I22:N22 F52 F62 G24:N24 G70:N70 E34:N34 F69:N69 G25:N25 J32:N32 G33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XFC78"/>
  <sheetViews>
    <sheetView showGridLines="0" zoomScale="70" zoomScaleNormal="70" workbookViewId="0">
      <selection activeCell="H11" sqref="H11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 ht="14.25">
      <c r="B4" s="130"/>
      <c r="C4" s="56" t="s">
        <v>448</v>
      </c>
      <c r="D4" s="57"/>
      <c r="E4" s="328" t="str">
        <f>Netzbetreiber!$D$9</f>
        <v>GELSENWASSER Energienetze GmbH</v>
      </c>
      <c r="F4" s="130"/>
      <c r="M4" s="130"/>
      <c r="N4" s="130"/>
      <c r="O4" s="130"/>
    </row>
    <row r="5" spans="2:56" ht="14.25">
      <c r="B5" s="130"/>
      <c r="C5" s="56" t="s">
        <v>447</v>
      </c>
      <c r="D5" s="57"/>
      <c r="E5" s="58" t="str">
        <f>Netzbetreiber!$D$28</f>
        <v>Niederrhein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490</v>
      </c>
      <c r="D6" s="57"/>
      <c r="E6" s="327" t="str">
        <f>Netzbetreiber!$D$11</f>
        <v>9870109500008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Netzbetreiber!$D$6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525</v>
      </c>
      <c r="D9" s="130"/>
      <c r="E9" s="130"/>
      <c r="F9" s="154">
        <f>'SLP-Verfahren'!D46</f>
        <v>2</v>
      </c>
      <c r="H9" s="172" t="s">
        <v>603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587</v>
      </c>
      <c r="D10" s="130"/>
      <c r="E10" s="130"/>
      <c r="F10" s="49">
        <v>2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605</v>
      </c>
      <c r="D11" s="130"/>
      <c r="E11" s="130"/>
      <c r="F11" s="330" t="str">
        <f>INDEX('SLP-Verfahren'!D48:D62,'SLP-Temp-Gebiet #02'!F10)</f>
        <v>Hünxe, Hamminkeln und Voerde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8" t="s">
        <v>586</v>
      </c>
      <c r="D13" s="338"/>
      <c r="E13" s="338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451</v>
      </c>
      <c r="D14" s="339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9" t="s">
        <v>388</v>
      </c>
      <c r="D15" s="339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88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28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528</v>
      </c>
      <c r="D21" s="153" t="s">
        <v>518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539</v>
      </c>
      <c r="D22" s="185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523</v>
      </c>
      <c r="D24" s="187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517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528</v>
      </c>
      <c r="D55" s="153" t="s">
        <v>518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539</v>
      </c>
      <c r="D56" s="185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523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517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40" t="s">
        <v>582</v>
      </c>
      <c r="D72" s="340"/>
      <c r="E72" s="340"/>
      <c r="F72" s="340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7" priority="18">
      <formula>IF(E$20&lt;=$F$18,1,0)</formula>
    </cfRule>
  </conditionalFormatting>
  <conditionalFormatting sqref="E32:N36">
    <cfRule type="expression" dxfId="36" priority="17">
      <formula>IF(E$30&lt;=$F$28,1,0)</formula>
    </cfRule>
  </conditionalFormatting>
  <conditionalFormatting sqref="E26:F26">
    <cfRule type="expression" dxfId="35" priority="16">
      <formula>IF(E$20&lt;=$F$18,1,0)</formula>
    </cfRule>
  </conditionalFormatting>
  <conditionalFormatting sqref="E26:N26">
    <cfRule type="expression" dxfId="34" priority="15">
      <formula>IF(E$20&lt;=$F$18,1,0)</formula>
    </cfRule>
  </conditionalFormatting>
  <conditionalFormatting sqref="E56:N59">
    <cfRule type="expression" dxfId="33" priority="14">
      <formula>IF(E$54&lt;=$F$52,1,0)</formula>
    </cfRule>
  </conditionalFormatting>
  <conditionalFormatting sqref="E60:N60">
    <cfRule type="expression" dxfId="32" priority="13">
      <formula>IF(E$54&lt;=$F$52,1,0)</formula>
    </cfRule>
  </conditionalFormatting>
  <conditionalFormatting sqref="E66:N68">
    <cfRule type="expression" dxfId="31" priority="12">
      <formula>IF(E$64&lt;=$F$62,1,0)</formula>
    </cfRule>
  </conditionalFormatting>
  <conditionalFormatting sqref="E65:N68 E70:N70">
    <cfRule type="expression" dxfId="30" priority="11">
      <formula>IF(E$64&gt;$F$62,1,0)</formula>
    </cfRule>
  </conditionalFormatting>
  <conditionalFormatting sqref="E56:N60">
    <cfRule type="expression" dxfId="29" priority="10">
      <formula>IF(E$54&gt;$F$52,1,0)</formula>
    </cfRule>
  </conditionalFormatting>
  <conditionalFormatting sqref="E21:N26">
    <cfRule type="expression" dxfId="28" priority="9">
      <formula>IF(E$20&gt;$F$18,1,0)</formula>
    </cfRule>
  </conditionalFormatting>
  <conditionalFormatting sqref="E32:N36">
    <cfRule type="expression" dxfId="27" priority="8">
      <formula>IF(E$30&gt;$F$28,1,0)</formula>
    </cfRule>
  </conditionalFormatting>
  <conditionalFormatting sqref="H11 H8:H9">
    <cfRule type="expression" dxfId="26" priority="7">
      <formula>IF($F$9=1,1,0)</formula>
    </cfRule>
  </conditionalFormatting>
  <conditionalFormatting sqref="E55:N55">
    <cfRule type="expression" dxfId="25" priority="6">
      <formula>IF(E$54&gt;$F$52,1,0)</formula>
    </cfRule>
  </conditionalFormatting>
  <conditionalFormatting sqref="E31:N31">
    <cfRule type="expression" dxfId="24" priority="5">
      <formula>IF(E$30&gt;$F$28,1,0)</formula>
    </cfRule>
  </conditionalFormatting>
  <conditionalFormatting sqref="E70:N70">
    <cfRule type="expression" dxfId="23" priority="4">
      <formula>IF(E$64&lt;=$F$62,1,0)</formula>
    </cfRule>
  </conditionalFormatting>
  <conditionalFormatting sqref="H10">
    <cfRule type="expression" dxfId="22" priority="3">
      <formula>IF($F$9=1,1,0)</formula>
    </cfRule>
  </conditionalFormatting>
  <conditionalFormatting sqref="E69:N69">
    <cfRule type="expression" dxfId="21" priority="2">
      <formula>IF(E$64&lt;=$F$62,1,0)</formula>
    </cfRule>
  </conditionalFormatting>
  <conditionalFormatting sqref="E69:N69">
    <cfRule type="expression" dxfId="20" priority="1">
      <formula>IF(E$64&gt;$F$62,1,0)</formula>
    </cfRule>
  </conditionalFormatting>
  <dataValidations count="13">
    <dataValidation type="list" allowBlank="1" showInputMessage="1" showErrorMessage="1" sqref="E35:N35 E69:N69" xr:uid="{00000000-0002-0000-0500-000000000000}">
      <formula1>$R$35:$S$35</formula1>
    </dataValidation>
    <dataValidation type="list" allowBlank="1" showInputMessage="1" showErrorMessage="1" sqref="G14:G15" xr:uid="{00000000-0002-0000-0500-000001000000}">
      <formula1>$R$14:$AC$14</formula1>
    </dataValidation>
    <dataValidation type="list" allowBlank="1" showInputMessage="1" showErrorMessage="1" sqref="F14:F15" xr:uid="{00000000-0002-0000-0500-000002000000}">
      <formula1>$R$15:$AV$15</formula1>
    </dataValidation>
    <dataValidation type="list" allowBlank="1" showInputMessage="1" showErrorMessage="1" sqref="F62" xr:uid="{00000000-0002-0000-0500-000003000000}">
      <formula1>$E$64:$N$64</formula1>
    </dataValidation>
    <dataValidation type="list" allowBlank="1" showInputMessage="1" showErrorMessage="1" sqref="F28" xr:uid="{00000000-0002-0000-0500-000004000000}">
      <formula1>$E$30:$N$30</formula1>
    </dataValidation>
    <dataValidation type="list" allowBlank="1" showInputMessage="1" showErrorMessage="1" sqref="F18" xr:uid="{00000000-0002-0000-0500-000005000000}">
      <formula1>$E$20:$N$20</formula1>
    </dataValidation>
    <dataValidation type="list" allowBlank="1" showInputMessage="1" showErrorMessage="1" sqref="F52" xr:uid="{00000000-0002-0000-0500-000006000000}">
      <formula1>$E$54:$N$54</formula1>
    </dataValidation>
    <dataValidation type="list" allowBlank="1" showInputMessage="1" showErrorMessage="1" sqref="E23:N23 E57:N57" xr:uid="{00000000-0002-0000-0500-000007000000}">
      <formula1>$R$23:$T$23</formula1>
    </dataValidation>
    <dataValidation type="list" allowBlank="1" showInputMessage="1" showErrorMessage="1" sqref="E34:N34 E68:N68" xr:uid="{00000000-0002-0000-05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500-000009000000}">
      <formula1>$R$33:$AB$33</formula1>
    </dataValidation>
    <dataValidation type="list" allowBlank="1" showInputMessage="1" showErrorMessage="1" sqref="E26:N26 E60:N60" xr:uid="{00000000-0002-0000-0500-00000A000000}">
      <formula1>$R$26:$S$26</formula1>
    </dataValidation>
    <dataValidation type="list" allowBlank="1" showInputMessage="1" showErrorMessage="1" sqref="E36:N36 E70:N70" xr:uid="{00000000-0002-0000-0500-00000B000000}">
      <formula1>$R$36:$S$36</formula1>
    </dataValidation>
    <dataValidation type="whole" allowBlank="1" showInputMessage="1" showErrorMessage="1" sqref="F9" xr:uid="{00000000-0002-0000-05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>
    <tabColor rgb="FFFFFF00"/>
    <pageSetUpPr fitToPage="1"/>
  </sheetPr>
  <dimension ref="A1:Z52"/>
  <sheetViews>
    <sheetView showGridLines="0" topLeftCell="C1" zoomScale="70" zoomScaleNormal="70" workbookViewId="0">
      <selection activeCell="Y12" sqref="Y12:Y37"/>
    </sheetView>
  </sheetViews>
  <sheetFormatPr baseColWidth="10" defaultColWidth="0" defaultRowHeight="14.25"/>
  <cols>
    <col min="1" max="1" width="2.86328125" style="128" customWidth="1"/>
    <col min="2" max="2" width="8" style="128" customWidth="1"/>
    <col min="3" max="3" width="37.3984375" style="128" customWidth="1"/>
    <col min="4" max="4" width="10.73046875" style="128" customWidth="1"/>
    <col min="5" max="6" width="11.3984375" style="128" customWidth="1"/>
    <col min="8" max="8" width="27.265625" style="128" bestFit="1" customWidth="1"/>
    <col min="9" max="9" width="15.3984375" style="128" customWidth="1"/>
    <col min="10" max="10" width="15" style="128" customWidth="1"/>
    <col min="11" max="11" width="14.265625" style="128" customWidth="1"/>
    <col min="12" max="12" width="11.3984375" style="128" customWidth="1"/>
    <col min="13" max="16" width="12.73046875" style="128" customWidth="1"/>
    <col min="17" max="17" width="14.1328125" style="128" customWidth="1"/>
    <col min="18" max="24" width="11.3984375" style="128" customWidth="1"/>
    <col min="25" max="25" width="20.1328125" style="128" customWidth="1"/>
    <col min="26" max="26" width="11.3984375" style="128" customWidth="1"/>
    <col min="27" max="16384" width="11.398437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GELSENWASSER Energienetze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Niederrhein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9870109500008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44197</v>
      </c>
      <c r="E8" s="130"/>
      <c r="F8" s="130"/>
      <c r="H8" s="128" t="s">
        <v>498</v>
      </c>
      <c r="J8" s="132">
        <f>COUNTA(D12:D100)</f>
        <v>40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15" thickBot="1">
      <c r="B10" s="134" t="s">
        <v>248</v>
      </c>
      <c r="C10" s="135" t="s">
        <v>497</v>
      </c>
      <c r="D10" s="134" t="s">
        <v>147</v>
      </c>
      <c r="E10" s="273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2" t="s">
        <v>650</v>
      </c>
    </row>
    <row r="11" spans="2:26" ht="14.65" thickBot="1">
      <c r="B11" s="139" t="s">
        <v>499</v>
      </c>
      <c r="C11" s="140" t="s">
        <v>512</v>
      </c>
      <c r="D11" s="291" t="s">
        <v>247</v>
      </c>
      <c r="E11" s="164" t="s">
        <v>519</v>
      </c>
      <c r="F11" s="293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2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89">
        <v>365.12299999999999</v>
      </c>
    </row>
    <row r="12" spans="2:26">
      <c r="B12" s="141">
        <v>1</v>
      </c>
      <c r="C12" s="142" t="str">
        <f t="shared" ref="C12:C51" si="0">$D$6</f>
        <v>Niederrhein</v>
      </c>
      <c r="D12" s="62" t="s">
        <v>247</v>
      </c>
      <c r="E12" s="165" t="s">
        <v>4</v>
      </c>
      <c r="F12" s="294" t="str">
        <f>VLOOKUP($E12,'BDEW-Standard'!$B$3:$M$94,F$9,0)</f>
        <v>HK3</v>
      </c>
      <c r="H12" s="274">
        <f>ROUND(VLOOKUP($E12,'BDEW-Standard'!$B$3:$M$94,H$9,0),7)</f>
        <v>0.40409319999999999</v>
      </c>
      <c r="I12" s="274">
        <f>ROUND(VLOOKUP($E12,'BDEW-Standard'!$B$3:$M$94,I$9,0),7)</f>
        <v>-24.439296800000001</v>
      </c>
      <c r="J12" s="274">
        <f>ROUND(VLOOKUP($E12,'BDEW-Standard'!$B$3:$M$94,J$9,0),7)</f>
        <v>6.5718174999999999</v>
      </c>
      <c r="K12" s="274">
        <f>ROUND(VLOOKUP($E12,'BDEW-Standard'!$B$3:$M$94,K$9,0),7)</f>
        <v>0.71077100000000004</v>
      </c>
      <c r="L12" s="334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5">
        <f t="shared" ref="Q12:Q51" si="1">($H12/(1+($I12/($Q$9-$L12))^$J12)+$K12)+MAX($M12*$Q$9+$N12,$O12*$Q$9+$P12)</f>
        <v>1.0561214000512988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0"/>
      <c r="Z12" s="211"/>
    </row>
    <row r="13" spans="2:26" s="143" customFormat="1">
      <c r="B13" s="144">
        <v>2</v>
      </c>
      <c r="C13" s="145" t="str">
        <f t="shared" si="0"/>
        <v>Niederrhein</v>
      </c>
      <c r="D13" s="62" t="s">
        <v>247</v>
      </c>
      <c r="E13" s="165" t="s">
        <v>21</v>
      </c>
      <c r="F13" s="294" t="s">
        <v>288</v>
      </c>
      <c r="H13" s="274">
        <v>3.0553842454</v>
      </c>
      <c r="I13" s="274">
        <v>-37.183637422300002</v>
      </c>
      <c r="J13" s="274">
        <v>5.6810824598999998</v>
      </c>
      <c r="K13" s="274">
        <v>8.2196627578599996E-2</v>
      </c>
      <c r="L13" s="334">
        <v>40</v>
      </c>
      <c r="M13" s="274">
        <v>0</v>
      </c>
      <c r="N13" s="274">
        <v>0</v>
      </c>
      <c r="O13" s="274">
        <v>0</v>
      </c>
      <c r="P13" s="274">
        <v>0</v>
      </c>
      <c r="Q13" s="335">
        <f t="shared" si="1"/>
        <v>0.9952102719820346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6" si="2">7-SUM(R13:W13)</f>
        <v>1</v>
      </c>
      <c r="Y13" s="290"/>
      <c r="Z13" s="211"/>
    </row>
    <row r="14" spans="2:26" s="143" customFormat="1">
      <c r="B14" s="144">
        <v>3</v>
      </c>
      <c r="C14" s="145" t="str">
        <f t="shared" si="0"/>
        <v>Niederrhein</v>
      </c>
      <c r="D14" s="62" t="s">
        <v>247</v>
      </c>
      <c r="E14" s="165" t="s">
        <v>25</v>
      </c>
      <c r="F14" s="294" t="s">
        <v>292</v>
      </c>
      <c r="H14" s="274">
        <v>3.1935978110000001</v>
      </c>
      <c r="I14" s="274">
        <v>-37.414247826900002</v>
      </c>
      <c r="J14" s="274">
        <v>6.1824021474000004</v>
      </c>
      <c r="K14" s="274">
        <v>6.4760540386599993E-2</v>
      </c>
      <c r="L14" s="334">
        <v>40</v>
      </c>
      <c r="M14" s="274">
        <v>0</v>
      </c>
      <c r="N14" s="274">
        <v>0</v>
      </c>
      <c r="O14" s="274">
        <v>0</v>
      </c>
      <c r="P14" s="274">
        <v>0</v>
      </c>
      <c r="Q14" s="335">
        <f t="shared" si="1"/>
        <v>0.94490764772800606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0"/>
      <c r="Z14" s="211"/>
    </row>
    <row r="15" spans="2:26" s="143" customFormat="1">
      <c r="B15" s="144">
        <v>4</v>
      </c>
      <c r="C15" s="145" t="str">
        <f t="shared" si="0"/>
        <v>Niederrhein</v>
      </c>
      <c r="D15" s="62" t="s">
        <v>247</v>
      </c>
      <c r="E15" s="165" t="s">
        <v>29</v>
      </c>
      <c r="F15" s="294" t="s">
        <v>296</v>
      </c>
      <c r="H15" s="274">
        <v>2.3987552319000001</v>
      </c>
      <c r="I15" s="274">
        <v>-34.723487774500001</v>
      </c>
      <c r="J15" s="274">
        <v>5.7996446390000003</v>
      </c>
      <c r="K15" s="274">
        <v>0.10167480685979999</v>
      </c>
      <c r="L15" s="334">
        <v>40</v>
      </c>
      <c r="M15" s="274">
        <v>0</v>
      </c>
      <c r="N15" s="274">
        <v>0</v>
      </c>
      <c r="O15" s="274">
        <v>0</v>
      </c>
      <c r="P15" s="274">
        <v>0</v>
      </c>
      <c r="Q15" s="335">
        <f>($H15/(1+($I15/($Q$9-$L15))^$J15)+$K15)+MAX($M15*$Q$9+$N15,$O15*$Q$9+$P15)</f>
        <v>1.022165315871495</v>
      </c>
      <c r="R15" s="275">
        <f>ROUND(VLOOKUP(MID($E15,4,3),'Wochentag F(WT)'!$B$7:$J$22,R$9,0),4)</f>
        <v>1</v>
      </c>
      <c r="S15" s="275">
        <f>ROUND(VLOOKUP(MID($E15,4,3),'Wochentag F(WT)'!$B$7:$J$22,S$9,0),4)</f>
        <v>1</v>
      </c>
      <c r="T15" s="275">
        <f>ROUND(VLOOKUP(MID($E15,4,3),'Wochentag F(WT)'!$B$7:$J$22,T$9,0),4)</f>
        <v>1</v>
      </c>
      <c r="U15" s="275">
        <f>ROUND(VLOOKUP(MID($E15,4,3),'Wochentag F(WT)'!$B$7:$J$22,U$9,0),4)</f>
        <v>1</v>
      </c>
      <c r="V15" s="275">
        <f>ROUND(VLOOKUP(MID($E15,4,3),'Wochentag F(WT)'!$B$7:$J$22,V$9,0),4)</f>
        <v>1</v>
      </c>
      <c r="W15" s="275">
        <f>ROUND(VLOOKUP(MID($E15,4,3),'Wochentag F(WT)'!$B$7:$J$22,W$9,0),4)</f>
        <v>1</v>
      </c>
      <c r="X15" s="276">
        <f t="shared" si="2"/>
        <v>1</v>
      </c>
      <c r="Y15" s="290"/>
      <c r="Z15" s="211"/>
    </row>
    <row r="16" spans="2:26" s="143" customFormat="1">
      <c r="B16" s="144">
        <v>5</v>
      </c>
      <c r="C16" s="145" t="str">
        <f t="shared" si="0"/>
        <v>Niederrhein</v>
      </c>
      <c r="D16" s="62" t="s">
        <v>247</v>
      </c>
      <c r="E16" s="165" t="s">
        <v>33</v>
      </c>
      <c r="F16" s="294" t="s">
        <v>300</v>
      </c>
      <c r="H16" s="274">
        <v>2.5297380184999998</v>
      </c>
      <c r="I16" s="274">
        <v>-35.030014509799997</v>
      </c>
      <c r="J16" s="274">
        <v>6.2051108885000001</v>
      </c>
      <c r="K16" s="274">
        <v>8.4524141827999999E-2</v>
      </c>
      <c r="L16" s="334">
        <v>40</v>
      </c>
      <c r="M16" s="274">
        <v>0</v>
      </c>
      <c r="N16" s="274">
        <v>0</v>
      </c>
      <c r="O16" s="274">
        <v>0</v>
      </c>
      <c r="P16" s="274">
        <v>0</v>
      </c>
      <c r="Q16" s="335">
        <f t="shared" si="1"/>
        <v>1.0034008473176701</v>
      </c>
      <c r="R16" s="275">
        <f>ROUND(VLOOKUP(MID($E16,4,3),'Wochentag F(WT)'!$B$7:$J$22,R$9,0),4)</f>
        <v>1</v>
      </c>
      <c r="S16" s="275">
        <f>ROUND(VLOOKUP(MID($E16,4,3),'Wochentag F(WT)'!$B$7:$J$22,S$9,0),4)</f>
        <v>1</v>
      </c>
      <c r="T16" s="275">
        <f>ROUND(VLOOKUP(MID($E16,4,3),'Wochentag F(WT)'!$B$7:$J$22,T$9,0),4)</f>
        <v>1</v>
      </c>
      <c r="U16" s="275">
        <f>ROUND(VLOOKUP(MID($E16,4,3),'Wochentag F(WT)'!$B$7:$J$22,U$9,0),4)</f>
        <v>1</v>
      </c>
      <c r="V16" s="275">
        <f>ROUND(VLOOKUP(MID($E16,4,3),'Wochentag F(WT)'!$B$7:$J$22,V$9,0),4)</f>
        <v>1</v>
      </c>
      <c r="W16" s="275">
        <f>ROUND(VLOOKUP(MID($E16,4,3),'Wochentag F(WT)'!$B$7:$J$22,W$9,0),4)</f>
        <v>1</v>
      </c>
      <c r="X16" s="276">
        <f t="shared" si="2"/>
        <v>1</v>
      </c>
      <c r="Y16" s="290"/>
      <c r="Z16" s="211"/>
    </row>
    <row r="17" spans="2:26" s="143" customFormat="1">
      <c r="B17" s="144">
        <v>6</v>
      </c>
      <c r="C17" s="145" t="str">
        <f t="shared" si="0"/>
        <v>Niederrhein</v>
      </c>
      <c r="D17" s="62" t="s">
        <v>247</v>
      </c>
      <c r="E17" s="165" t="s">
        <v>657</v>
      </c>
      <c r="F17" s="294" t="str">
        <f>VLOOKUP($E17,'BDEW-Standard'!$B$3:$M$94,F$9,0)</f>
        <v>KO3</v>
      </c>
      <c r="H17" s="274">
        <f>ROUND(VLOOKUP($E17,'BDEW-Standard'!$B$3:$M$94,H$9,0),7)</f>
        <v>2.7172288</v>
      </c>
      <c r="I17" s="274">
        <f>ROUND(VLOOKUP($E17,'BDEW-Standard'!$B$3:$M$94,I$9,0),7)</f>
        <v>-35.141256300000002</v>
      </c>
      <c r="J17" s="274">
        <f>ROUND(VLOOKUP($E17,'BDEW-Standard'!$B$3:$M$94,J$9,0),7)</f>
        <v>7.1303394999999998</v>
      </c>
      <c r="K17" s="274">
        <f>ROUND(VLOOKUP($E17,'BDEW-Standard'!$B$3:$M$94,K$9,0),7)</f>
        <v>0.14184720000000001</v>
      </c>
      <c r="L17" s="334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5">
        <f t="shared" si="1"/>
        <v>1.0630299199876638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0"/>
      <c r="Z17" s="211"/>
    </row>
    <row r="18" spans="2:26" s="143" customFormat="1">
      <c r="B18" s="144">
        <v>7</v>
      </c>
      <c r="C18" s="145" t="str">
        <f t="shared" si="0"/>
        <v>Niederrhein</v>
      </c>
      <c r="D18" s="62" t="s">
        <v>247</v>
      </c>
      <c r="E18" s="165" t="s">
        <v>658</v>
      </c>
      <c r="F18" s="294" t="str">
        <f>VLOOKUP($E18,'BDEW-Standard'!$B$3:$M$94,F$9,0)</f>
        <v>KO4</v>
      </c>
      <c r="H18" s="274">
        <f>ROUND(VLOOKUP($E18,'BDEW-Standard'!$B$3:$M$94,H$9,0),7)</f>
        <v>3.4428942999999999</v>
      </c>
      <c r="I18" s="274">
        <f>ROUND(VLOOKUP($E18,'BDEW-Standard'!$B$3:$M$94,I$9,0),7)</f>
        <v>-36.659050399999998</v>
      </c>
      <c r="J18" s="274">
        <f>ROUND(VLOOKUP($E18,'BDEW-Standard'!$B$3:$M$94,J$9,0),7)</f>
        <v>7.6083226000000002</v>
      </c>
      <c r="K18" s="274">
        <f>ROUND(VLOOKUP($E18,'BDEW-Standard'!$B$3:$M$94,K$9,0),7)</f>
        <v>7.4685000000000001E-2</v>
      </c>
      <c r="L18" s="334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5">
        <f t="shared" si="1"/>
        <v>0.97768382110526542</v>
      </c>
      <c r="R18" s="275">
        <f>ROUND(VLOOKUP(MID($E18,4,3),'Wochentag F(WT)'!$B$7:$J$22,R$9,0),4)</f>
        <v>1.0354000000000001</v>
      </c>
      <c r="S18" s="275">
        <f>ROUND(VLOOKUP(MID($E18,4,3),'Wochentag F(WT)'!$B$7:$J$22,S$9,0),4)</f>
        <v>1.0523</v>
      </c>
      <c r="T18" s="275">
        <f>ROUND(VLOOKUP(MID($E18,4,3),'Wochentag F(WT)'!$B$7:$J$22,T$9,0),4)</f>
        <v>1.0448999999999999</v>
      </c>
      <c r="U18" s="275">
        <f>ROUND(VLOOKUP(MID($E18,4,3),'Wochentag F(WT)'!$B$7:$J$22,U$9,0),4)</f>
        <v>1.0494000000000001</v>
      </c>
      <c r="V18" s="275">
        <f>ROUND(VLOOKUP(MID($E18,4,3),'Wochentag F(WT)'!$B$7:$J$22,V$9,0),4)</f>
        <v>0.98850000000000005</v>
      </c>
      <c r="W18" s="275">
        <f>ROUND(VLOOKUP(MID($E18,4,3),'Wochentag F(WT)'!$B$7:$J$22,W$9,0),4)</f>
        <v>0.88600000000000001</v>
      </c>
      <c r="X18" s="276">
        <f t="shared" si="2"/>
        <v>0.94349999999999934</v>
      </c>
      <c r="Y18" s="290"/>
      <c r="Z18" s="211"/>
    </row>
    <row r="19" spans="2:26" s="143" customFormat="1">
      <c r="B19" s="144">
        <v>8</v>
      </c>
      <c r="C19" s="145" t="str">
        <f t="shared" si="0"/>
        <v>Niederrhein</v>
      </c>
      <c r="D19" s="62" t="s">
        <v>247</v>
      </c>
      <c r="E19" s="165" t="s">
        <v>659</v>
      </c>
      <c r="F19" s="294" t="str">
        <f>VLOOKUP($E19,'BDEW-Standard'!$B$3:$M$94,F$9,0)</f>
        <v>HA3</v>
      </c>
      <c r="H19" s="274">
        <f>ROUND(VLOOKUP($E19,'BDEW-Standard'!$B$3:$M$94,H$9,0),7)</f>
        <v>3.5811213999999998</v>
      </c>
      <c r="I19" s="274">
        <f>ROUND(VLOOKUP($E19,'BDEW-Standard'!$B$3:$M$94,I$9,0),7)</f>
        <v>-36.965006500000001</v>
      </c>
      <c r="J19" s="274">
        <f>ROUND(VLOOKUP($E19,'BDEW-Standard'!$B$3:$M$94,J$9,0),7)</f>
        <v>7.2256947</v>
      </c>
      <c r="K19" s="274">
        <f>ROUND(VLOOKUP($E19,'BDEW-Standard'!$B$3:$M$94,K$9,0),7)</f>
        <v>4.4841600000000002E-2</v>
      </c>
      <c r="L19" s="334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5">
        <f t="shared" si="1"/>
        <v>0.97852945357176691</v>
      </c>
      <c r="R19" s="275">
        <f>ROUND(VLOOKUP(MID($E19,4,3),'Wochentag F(WT)'!$B$7:$J$22,R$9,0),4)</f>
        <v>1.0358000000000001</v>
      </c>
      <c r="S19" s="275">
        <f>ROUND(VLOOKUP(MID($E19,4,3),'Wochentag F(WT)'!$B$7:$J$22,S$9,0),4)</f>
        <v>1.0232000000000001</v>
      </c>
      <c r="T19" s="275">
        <f>ROUND(VLOOKUP(MID($E19,4,3),'Wochentag F(WT)'!$B$7:$J$22,T$9,0),4)</f>
        <v>1.0251999999999999</v>
      </c>
      <c r="U19" s="275">
        <f>ROUND(VLOOKUP(MID($E19,4,3),'Wochentag F(WT)'!$B$7:$J$22,U$9,0),4)</f>
        <v>1.0295000000000001</v>
      </c>
      <c r="V19" s="275">
        <f>ROUND(VLOOKUP(MID($E19,4,3),'Wochentag F(WT)'!$B$7:$J$22,V$9,0),4)</f>
        <v>1.0253000000000001</v>
      </c>
      <c r="W19" s="275">
        <f>ROUND(VLOOKUP(MID($E19,4,3),'Wochentag F(WT)'!$B$7:$J$22,W$9,0),4)</f>
        <v>0.96750000000000003</v>
      </c>
      <c r="X19" s="276">
        <f t="shared" si="2"/>
        <v>0.89350000000000041</v>
      </c>
      <c r="Y19" s="290"/>
      <c r="Z19" s="211"/>
    </row>
    <row r="20" spans="2:26" s="143" customFormat="1">
      <c r="B20" s="144">
        <v>9</v>
      </c>
      <c r="C20" s="145" t="str">
        <f t="shared" si="0"/>
        <v>Niederrhein</v>
      </c>
      <c r="D20" s="62" t="s">
        <v>247</v>
      </c>
      <c r="E20" s="165" t="s">
        <v>660</v>
      </c>
      <c r="F20" s="294" t="str">
        <f>VLOOKUP($E20,'BDEW-Standard'!$B$3:$M$94,F$9,0)</f>
        <v>HA4</v>
      </c>
      <c r="H20" s="274">
        <f>ROUND(VLOOKUP($E20,'BDEW-Standard'!$B$3:$M$94,H$9,0),7)</f>
        <v>4.0196902000000003</v>
      </c>
      <c r="I20" s="274">
        <f>ROUND(VLOOKUP($E20,'BDEW-Standard'!$B$3:$M$94,I$9,0),7)</f>
        <v>-37.828203700000003</v>
      </c>
      <c r="J20" s="274">
        <f>ROUND(VLOOKUP($E20,'BDEW-Standard'!$B$3:$M$94,J$9,0),7)</f>
        <v>8.1593368999999996</v>
      </c>
      <c r="K20" s="274">
        <f>ROUND(VLOOKUP($E20,'BDEW-Standard'!$B$3:$M$94,K$9,0),7)</f>
        <v>4.72845E-2</v>
      </c>
      <c r="L20" s="334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5">
        <f t="shared" si="1"/>
        <v>0.86486713303260787</v>
      </c>
      <c r="R20" s="275">
        <f>ROUND(VLOOKUP(MID($E20,4,3),'Wochentag F(WT)'!$B$7:$J$22,R$9,0),4)</f>
        <v>1.0358000000000001</v>
      </c>
      <c r="S20" s="275">
        <f>ROUND(VLOOKUP(MID($E20,4,3),'Wochentag F(WT)'!$B$7:$J$22,S$9,0),4)</f>
        <v>1.0232000000000001</v>
      </c>
      <c r="T20" s="275">
        <f>ROUND(VLOOKUP(MID($E20,4,3),'Wochentag F(WT)'!$B$7:$J$22,T$9,0),4)</f>
        <v>1.0251999999999999</v>
      </c>
      <c r="U20" s="275">
        <f>ROUND(VLOOKUP(MID($E20,4,3),'Wochentag F(WT)'!$B$7:$J$22,U$9,0),4)</f>
        <v>1.0295000000000001</v>
      </c>
      <c r="V20" s="275">
        <f>ROUND(VLOOKUP(MID($E20,4,3),'Wochentag F(WT)'!$B$7:$J$22,V$9,0),4)</f>
        <v>1.0253000000000001</v>
      </c>
      <c r="W20" s="275">
        <f>ROUND(VLOOKUP(MID($E20,4,3),'Wochentag F(WT)'!$B$7:$J$22,W$9,0),4)</f>
        <v>0.96750000000000003</v>
      </c>
      <c r="X20" s="276">
        <f t="shared" si="2"/>
        <v>0.89350000000000041</v>
      </c>
      <c r="Y20" s="290"/>
      <c r="Z20" s="211"/>
    </row>
    <row r="21" spans="2:26" s="143" customFormat="1">
      <c r="B21" s="144">
        <v>10</v>
      </c>
      <c r="C21" s="145" t="str">
        <f t="shared" si="0"/>
        <v>Niederrhein</v>
      </c>
      <c r="D21" s="62" t="s">
        <v>247</v>
      </c>
      <c r="E21" s="165" t="s">
        <v>661</v>
      </c>
      <c r="F21" s="294" t="str">
        <f>VLOOKUP($E21,'BDEW-Standard'!$B$3:$M$94,F$9,0)</f>
        <v>BD3</v>
      </c>
      <c r="H21" s="274">
        <f>ROUND(VLOOKUP($E21,'BDEW-Standard'!$B$3:$M$94,H$9,0),7)</f>
        <v>2.9177027</v>
      </c>
      <c r="I21" s="274">
        <f>ROUND(VLOOKUP($E21,'BDEW-Standard'!$B$3:$M$94,I$9,0),7)</f>
        <v>-36.179411700000003</v>
      </c>
      <c r="J21" s="274">
        <f>ROUND(VLOOKUP($E21,'BDEW-Standard'!$B$3:$M$94,J$9,0),7)</f>
        <v>5.9265162</v>
      </c>
      <c r="K21" s="274">
        <f>ROUND(VLOOKUP($E21,'BDEW-Standard'!$B$3:$M$94,K$9,0),7)</f>
        <v>0.11519119999999999</v>
      </c>
      <c r="L21" s="334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5">
        <f t="shared" si="1"/>
        <v>1.0656106174494469</v>
      </c>
      <c r="R21" s="275">
        <f>ROUND(VLOOKUP(MID($E21,4,3),'Wochentag F(WT)'!$B$7:$J$22,R$9,0),4)</f>
        <v>1.1052</v>
      </c>
      <c r="S21" s="275">
        <f>ROUND(VLOOKUP(MID($E21,4,3),'Wochentag F(WT)'!$B$7:$J$22,S$9,0),4)</f>
        <v>1.0857000000000001</v>
      </c>
      <c r="T21" s="275">
        <f>ROUND(VLOOKUP(MID($E21,4,3),'Wochentag F(WT)'!$B$7:$J$22,T$9,0),4)</f>
        <v>1.0378000000000001</v>
      </c>
      <c r="U21" s="275">
        <f>ROUND(VLOOKUP(MID($E21,4,3),'Wochentag F(WT)'!$B$7:$J$22,U$9,0),4)</f>
        <v>1.0622</v>
      </c>
      <c r="V21" s="275">
        <f>ROUND(VLOOKUP(MID($E21,4,3),'Wochentag F(WT)'!$B$7:$J$22,V$9,0),4)</f>
        <v>1.0266</v>
      </c>
      <c r="W21" s="275">
        <f>ROUND(VLOOKUP(MID($E21,4,3),'Wochentag F(WT)'!$B$7:$J$22,W$9,0),4)</f>
        <v>0.76290000000000002</v>
      </c>
      <c r="X21" s="276">
        <f t="shared" si="2"/>
        <v>0.91959999999999997</v>
      </c>
      <c r="Y21" s="290"/>
      <c r="Z21" s="211"/>
    </row>
    <row r="22" spans="2:26" s="143" customFormat="1">
      <c r="B22" s="144">
        <v>11</v>
      </c>
      <c r="C22" s="145" t="str">
        <f t="shared" si="0"/>
        <v>Niederrhein</v>
      </c>
      <c r="D22" s="62" t="s">
        <v>247</v>
      </c>
      <c r="E22" s="165" t="s">
        <v>662</v>
      </c>
      <c r="F22" s="294" t="str">
        <f>VLOOKUP($E22,'BDEW-Standard'!$B$3:$M$94,F$9,0)</f>
        <v>BD4</v>
      </c>
      <c r="H22" s="274">
        <f>ROUND(VLOOKUP($E22,'BDEW-Standard'!$B$3:$M$94,H$9,0),7)</f>
        <v>3.75</v>
      </c>
      <c r="I22" s="274">
        <f>ROUND(VLOOKUP($E22,'BDEW-Standard'!$B$3:$M$94,I$9,0),7)</f>
        <v>-37.5</v>
      </c>
      <c r="J22" s="274">
        <f>ROUND(VLOOKUP($E22,'BDEW-Standard'!$B$3:$M$94,J$9,0),7)</f>
        <v>6.8</v>
      </c>
      <c r="K22" s="274">
        <f>ROUND(VLOOKUP($E22,'BDEW-Standard'!$B$3:$M$94,K$9,0),7)</f>
        <v>6.0911300000000002E-2</v>
      </c>
      <c r="L22" s="334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5">
        <f t="shared" si="1"/>
        <v>1.0126136468627658</v>
      </c>
      <c r="R22" s="275">
        <f>ROUND(VLOOKUP(MID($E22,4,3),'Wochentag F(WT)'!$B$7:$J$22,R$9,0),4)</f>
        <v>1.1052</v>
      </c>
      <c r="S22" s="275">
        <f>ROUND(VLOOKUP(MID($E22,4,3),'Wochentag F(WT)'!$B$7:$J$22,S$9,0),4)</f>
        <v>1.0857000000000001</v>
      </c>
      <c r="T22" s="275">
        <f>ROUND(VLOOKUP(MID($E22,4,3),'Wochentag F(WT)'!$B$7:$J$22,T$9,0),4)</f>
        <v>1.0378000000000001</v>
      </c>
      <c r="U22" s="275">
        <f>ROUND(VLOOKUP(MID($E22,4,3),'Wochentag F(WT)'!$B$7:$J$22,U$9,0),4)</f>
        <v>1.0622</v>
      </c>
      <c r="V22" s="275">
        <f>ROUND(VLOOKUP(MID($E22,4,3),'Wochentag F(WT)'!$B$7:$J$22,V$9,0),4)</f>
        <v>1.0266</v>
      </c>
      <c r="W22" s="275">
        <f>ROUND(VLOOKUP(MID($E22,4,3),'Wochentag F(WT)'!$B$7:$J$22,W$9,0),4)</f>
        <v>0.76290000000000002</v>
      </c>
      <c r="X22" s="276">
        <f t="shared" si="2"/>
        <v>0.91959999999999997</v>
      </c>
      <c r="Y22" s="290"/>
      <c r="Z22" s="211"/>
    </row>
    <row r="23" spans="2:26" s="143" customFormat="1">
      <c r="B23" s="144">
        <v>12</v>
      </c>
      <c r="C23" s="145" t="str">
        <f t="shared" si="0"/>
        <v>Niederrhein</v>
      </c>
      <c r="D23" s="62" t="s">
        <v>247</v>
      </c>
      <c r="E23" s="165" t="s">
        <v>663</v>
      </c>
      <c r="F23" s="294" t="str">
        <f>VLOOKUP($E23,'BDEW-Standard'!$B$3:$M$94,F$9,0)</f>
        <v>BH3</v>
      </c>
      <c r="H23" s="274">
        <f>ROUND(VLOOKUP($E23,'BDEW-Standard'!$B$3:$M$94,H$9,0),7)</f>
        <v>2.0102471999999998</v>
      </c>
      <c r="I23" s="274">
        <f>ROUND(VLOOKUP($E23,'BDEW-Standard'!$B$3:$M$94,I$9,0),7)</f>
        <v>-35.253212400000002</v>
      </c>
      <c r="J23" s="274">
        <f>ROUND(VLOOKUP($E23,'BDEW-Standard'!$B$3:$M$94,J$9,0),7)</f>
        <v>6.1544406</v>
      </c>
      <c r="K23" s="274">
        <f>ROUND(VLOOKUP($E23,'BDEW-Standard'!$B$3:$M$94,K$9,0),7)</f>
        <v>0.32947409999999999</v>
      </c>
      <c r="L23" s="334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5">
        <f t="shared" si="1"/>
        <v>1.0436896084076008</v>
      </c>
      <c r="R23" s="275">
        <f>ROUND(VLOOKUP(MID($E23,4,3),'Wochentag F(WT)'!$B$7:$J$22,R$9,0),4)</f>
        <v>0.97670000000000001</v>
      </c>
      <c r="S23" s="275">
        <f>ROUND(VLOOKUP(MID($E23,4,3),'Wochentag F(WT)'!$B$7:$J$22,S$9,0),4)</f>
        <v>1.0388999999999999</v>
      </c>
      <c r="T23" s="275">
        <f>ROUND(VLOOKUP(MID($E23,4,3),'Wochentag F(WT)'!$B$7:$J$22,T$9,0),4)</f>
        <v>1.0027999999999999</v>
      </c>
      <c r="U23" s="275">
        <f>ROUND(VLOOKUP(MID($E23,4,3),'Wochentag F(WT)'!$B$7:$J$22,U$9,0),4)</f>
        <v>1.0162</v>
      </c>
      <c r="V23" s="275">
        <f>ROUND(VLOOKUP(MID($E23,4,3),'Wochentag F(WT)'!$B$7:$J$22,V$9,0),4)</f>
        <v>1.0024</v>
      </c>
      <c r="W23" s="275">
        <f>ROUND(VLOOKUP(MID($E23,4,3),'Wochentag F(WT)'!$B$7:$J$22,W$9,0),4)</f>
        <v>1.0043</v>
      </c>
      <c r="X23" s="276">
        <f t="shared" si="2"/>
        <v>0.95870000000000122</v>
      </c>
      <c r="Y23" s="290"/>
      <c r="Z23" s="211"/>
    </row>
    <row r="24" spans="2:26" s="143" customFormat="1">
      <c r="B24" s="144">
        <v>13</v>
      </c>
      <c r="C24" s="145" t="str">
        <f t="shared" si="0"/>
        <v>Niederrhein</v>
      </c>
      <c r="D24" s="62" t="s">
        <v>247</v>
      </c>
      <c r="E24" s="165" t="s">
        <v>664</v>
      </c>
      <c r="F24" s="294" t="str">
        <f>VLOOKUP($E24,'BDEW-Standard'!$B$3:$M$94,F$9,0)</f>
        <v>BH4</v>
      </c>
      <c r="H24" s="274">
        <f>ROUND(VLOOKUP($E24,'BDEW-Standard'!$B$3:$M$94,H$9,0),7)</f>
        <v>2.4595180999999999</v>
      </c>
      <c r="I24" s="274">
        <f>ROUND(VLOOKUP($E24,'BDEW-Standard'!$B$3:$M$94,I$9,0),7)</f>
        <v>-35.253212400000002</v>
      </c>
      <c r="J24" s="274">
        <f>ROUND(VLOOKUP($E24,'BDEW-Standard'!$B$3:$M$94,J$9,0),7)</f>
        <v>6.0587001000000003</v>
      </c>
      <c r="K24" s="274">
        <f>ROUND(VLOOKUP($E24,'BDEW-Standard'!$B$3:$M$94,K$9,0),7)</f>
        <v>0.16473699999999999</v>
      </c>
      <c r="L24" s="334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5">
        <f t="shared" si="1"/>
        <v>1.043802057143173</v>
      </c>
      <c r="R24" s="275">
        <f>ROUND(VLOOKUP(MID($E24,4,3),'Wochentag F(WT)'!$B$7:$J$22,R$9,0),4)</f>
        <v>0.97670000000000001</v>
      </c>
      <c r="S24" s="275">
        <f>ROUND(VLOOKUP(MID($E24,4,3),'Wochentag F(WT)'!$B$7:$J$22,S$9,0),4)</f>
        <v>1.0388999999999999</v>
      </c>
      <c r="T24" s="275">
        <f>ROUND(VLOOKUP(MID($E24,4,3),'Wochentag F(WT)'!$B$7:$J$22,T$9,0),4)</f>
        <v>1.0027999999999999</v>
      </c>
      <c r="U24" s="275">
        <f>ROUND(VLOOKUP(MID($E24,4,3),'Wochentag F(WT)'!$B$7:$J$22,U$9,0),4)</f>
        <v>1.0162</v>
      </c>
      <c r="V24" s="275">
        <f>ROUND(VLOOKUP(MID($E24,4,3),'Wochentag F(WT)'!$B$7:$J$22,V$9,0),4)</f>
        <v>1.0024</v>
      </c>
      <c r="W24" s="275">
        <f>ROUND(VLOOKUP(MID($E24,4,3),'Wochentag F(WT)'!$B$7:$J$22,W$9,0),4)</f>
        <v>1.0043</v>
      </c>
      <c r="X24" s="276">
        <f t="shared" si="2"/>
        <v>0.95870000000000122</v>
      </c>
      <c r="Y24" s="290"/>
      <c r="Z24" s="211"/>
    </row>
    <row r="25" spans="2:26" s="143" customFormat="1">
      <c r="B25" s="144">
        <v>14</v>
      </c>
      <c r="C25" s="145" t="str">
        <f t="shared" si="0"/>
        <v>Niederrhein</v>
      </c>
      <c r="D25" s="62" t="s">
        <v>247</v>
      </c>
      <c r="E25" s="165" t="s">
        <v>665</v>
      </c>
      <c r="F25" s="294" t="str">
        <f>VLOOKUP($E25,'BDEW-Standard'!$B$3:$M$94,F$9,0)</f>
        <v>WA3</v>
      </c>
      <c r="H25" s="274">
        <f>ROUND(VLOOKUP($E25,'BDEW-Standard'!$B$3:$M$94,H$9,0),7)</f>
        <v>0.76572899999999999</v>
      </c>
      <c r="I25" s="274">
        <f>ROUND(VLOOKUP($E25,'BDEW-Standard'!$B$3:$M$94,I$9,0),7)</f>
        <v>-36.023791199999998</v>
      </c>
      <c r="J25" s="274">
        <f>ROUND(VLOOKUP($E25,'BDEW-Standard'!$B$3:$M$94,J$9,0),7)</f>
        <v>4.8662747</v>
      </c>
      <c r="K25" s="274">
        <f>ROUND(VLOOKUP($E25,'BDEW-Standard'!$B$3:$M$94,K$9,0),7)</f>
        <v>0.80494250000000001</v>
      </c>
      <c r="L25" s="334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5">
        <f t="shared" si="1"/>
        <v>1.0804258319686442</v>
      </c>
      <c r="R25" s="275">
        <f>ROUND(VLOOKUP(MID($E25,4,3),'Wochentag F(WT)'!$B$7:$J$22,R$9,0),4)</f>
        <v>1.2457</v>
      </c>
      <c r="S25" s="275">
        <f>ROUND(VLOOKUP(MID($E25,4,3),'Wochentag F(WT)'!$B$7:$J$22,S$9,0),4)</f>
        <v>1.2615000000000001</v>
      </c>
      <c r="T25" s="275">
        <f>ROUND(VLOOKUP(MID($E25,4,3),'Wochentag F(WT)'!$B$7:$J$22,T$9,0),4)</f>
        <v>1.2706999999999999</v>
      </c>
      <c r="U25" s="275">
        <f>ROUND(VLOOKUP(MID($E25,4,3),'Wochentag F(WT)'!$B$7:$J$22,U$9,0),4)</f>
        <v>1.2430000000000001</v>
      </c>
      <c r="V25" s="275">
        <f>ROUND(VLOOKUP(MID($E25,4,3),'Wochentag F(WT)'!$B$7:$J$22,V$9,0),4)</f>
        <v>1.1275999999999999</v>
      </c>
      <c r="W25" s="275">
        <f>ROUND(VLOOKUP(MID($E25,4,3),'Wochentag F(WT)'!$B$7:$J$22,W$9,0),4)</f>
        <v>0.38769999999999999</v>
      </c>
      <c r="X25" s="276">
        <f t="shared" si="2"/>
        <v>0.46379999999999999</v>
      </c>
      <c r="Y25" s="290"/>
      <c r="Z25" s="211"/>
    </row>
    <row r="26" spans="2:26" s="143" customFormat="1">
      <c r="B26" s="144">
        <v>15</v>
      </c>
      <c r="C26" s="145" t="str">
        <f t="shared" si="0"/>
        <v>Niederrhein</v>
      </c>
      <c r="D26" s="62" t="s">
        <v>247</v>
      </c>
      <c r="E26" s="165" t="s">
        <v>666</v>
      </c>
      <c r="F26" s="294" t="str">
        <f>VLOOKUP($E26,'BDEW-Standard'!$B$3:$M$94,F$9,0)</f>
        <v>WA4</v>
      </c>
      <c r="H26" s="274">
        <f>ROUND(VLOOKUP($E26,'BDEW-Standard'!$B$3:$M$94,H$9,0),7)</f>
        <v>1.0535874999999999</v>
      </c>
      <c r="I26" s="274">
        <f>ROUND(VLOOKUP($E26,'BDEW-Standard'!$B$3:$M$94,I$9,0),7)</f>
        <v>-35.299999999999997</v>
      </c>
      <c r="J26" s="274">
        <f>ROUND(VLOOKUP($E26,'BDEW-Standard'!$B$3:$M$94,J$9,0),7)</f>
        <v>4.8662747</v>
      </c>
      <c r="K26" s="274">
        <f>ROUND(VLOOKUP($E26,'BDEW-Standard'!$B$3:$M$94,K$9,0),7)</f>
        <v>0.68110420000000005</v>
      </c>
      <c r="L26" s="334">
        <f>ROUND(VLOOKUP($E26,'BDEW-Standard'!$B$3:$M$94,L$9,0),1)</f>
        <v>40</v>
      </c>
      <c r="M26" s="274">
        <f>ROUND(VLOOKUP($E26,'BDEW-Standard'!$B$3:$M$94,M$9,0),7)</f>
        <v>0</v>
      </c>
      <c r="N26" s="274">
        <f>ROUND(VLOOKUP($E26,'BDEW-Standard'!$B$3:$M$94,N$9,0),7)</f>
        <v>0</v>
      </c>
      <c r="O26" s="274">
        <f>ROUND(VLOOKUP($E26,'BDEW-Standard'!$B$3:$M$94,O$9,0),7)</f>
        <v>0</v>
      </c>
      <c r="P26" s="274">
        <f>ROUND(VLOOKUP($E26,'BDEW-Standard'!$B$3:$M$94,P$9,0),7)</f>
        <v>0</v>
      </c>
      <c r="Q26" s="335">
        <f t="shared" si="1"/>
        <v>1.0844348950990992</v>
      </c>
      <c r="R26" s="275">
        <f>ROUND(VLOOKUP(MID($E26,4,3),'Wochentag F(WT)'!$B$7:$J$22,R$9,0),4)</f>
        <v>1.2457</v>
      </c>
      <c r="S26" s="275">
        <f>ROUND(VLOOKUP(MID($E26,4,3),'Wochentag F(WT)'!$B$7:$J$22,S$9,0),4)</f>
        <v>1.2615000000000001</v>
      </c>
      <c r="T26" s="275">
        <f>ROUND(VLOOKUP(MID($E26,4,3),'Wochentag F(WT)'!$B$7:$J$22,T$9,0),4)</f>
        <v>1.2706999999999999</v>
      </c>
      <c r="U26" s="275">
        <f>ROUND(VLOOKUP(MID($E26,4,3),'Wochentag F(WT)'!$B$7:$J$22,U$9,0),4)</f>
        <v>1.2430000000000001</v>
      </c>
      <c r="V26" s="275">
        <f>ROUND(VLOOKUP(MID($E26,4,3),'Wochentag F(WT)'!$B$7:$J$22,V$9,0),4)</f>
        <v>1.1275999999999999</v>
      </c>
      <c r="W26" s="275">
        <f>ROUND(VLOOKUP(MID($E26,4,3),'Wochentag F(WT)'!$B$7:$J$22,W$9,0),4)</f>
        <v>0.38769999999999999</v>
      </c>
      <c r="X26" s="276">
        <f t="shared" si="2"/>
        <v>0.46379999999999999</v>
      </c>
      <c r="Y26" s="290"/>
      <c r="Z26" s="211"/>
    </row>
    <row r="27" spans="2:26" s="143" customFormat="1">
      <c r="B27" s="144">
        <v>16</v>
      </c>
      <c r="C27" s="145" t="str">
        <f t="shared" si="0"/>
        <v>Niederrhein</v>
      </c>
      <c r="D27" s="62" t="s">
        <v>247</v>
      </c>
      <c r="E27" s="166" t="s">
        <v>667</v>
      </c>
      <c r="F27" s="294" t="str">
        <f>VLOOKUP($E27,'BDEW-Standard'!$B$3:$M$94,F$9,0)</f>
        <v>GA3</v>
      </c>
      <c r="H27" s="274">
        <f>ROUND(VLOOKUP($E27,'BDEW-Standard'!$B$3:$M$94,H$9,0),7)</f>
        <v>2.2850164999999998</v>
      </c>
      <c r="I27" s="274">
        <f>ROUND(VLOOKUP($E27,'BDEW-Standard'!$B$3:$M$94,I$9,0),7)</f>
        <v>-36.287858399999998</v>
      </c>
      <c r="J27" s="274">
        <f>ROUND(VLOOKUP($E27,'BDEW-Standard'!$B$3:$M$94,J$9,0),7)</f>
        <v>6.5885125999999996</v>
      </c>
      <c r="K27" s="274">
        <f>ROUND(VLOOKUP($E27,'BDEW-Standard'!$B$3:$M$94,K$9,0),7)</f>
        <v>0.31505349999999999</v>
      </c>
      <c r="L27" s="334">
        <f>ROUND(VLOOKUP($E27,'BDEW-Standard'!$B$3:$M$94,L$9,0),1)</f>
        <v>40</v>
      </c>
      <c r="M27" s="274">
        <f>ROUND(VLOOKUP($E27,'BDEW-Standard'!$B$3:$M$94,M$9,0),7)</f>
        <v>0</v>
      </c>
      <c r="N27" s="274">
        <f>ROUND(VLOOKUP($E27,'BDEW-Standard'!$B$3:$M$94,N$9,0),7)</f>
        <v>0</v>
      </c>
      <c r="O27" s="274">
        <f>ROUND(VLOOKUP($E27,'BDEW-Standard'!$B$3:$M$94,O$9,0),7)</f>
        <v>0</v>
      </c>
      <c r="P27" s="274">
        <f>ROUND(VLOOKUP($E27,'BDEW-Standard'!$B$3:$M$94,P$9,0),7)</f>
        <v>0</v>
      </c>
      <c r="Q27" s="335">
        <f t="shared" si="1"/>
        <v>1.0096183914256316</v>
      </c>
      <c r="R27" s="275">
        <f>ROUND(VLOOKUP(MID($E27,4,3),'Wochentag F(WT)'!$B$7:$J$22,R$9,0),4)</f>
        <v>0.93220000000000003</v>
      </c>
      <c r="S27" s="275">
        <f>ROUND(VLOOKUP(MID($E27,4,3),'Wochentag F(WT)'!$B$7:$J$22,S$9,0),4)</f>
        <v>0.98939999999999995</v>
      </c>
      <c r="T27" s="275">
        <f>ROUND(VLOOKUP(MID($E27,4,3),'Wochentag F(WT)'!$B$7:$J$22,T$9,0),4)</f>
        <v>1.0033000000000001</v>
      </c>
      <c r="U27" s="275">
        <f>ROUND(VLOOKUP(MID($E27,4,3),'Wochentag F(WT)'!$B$7:$J$22,U$9,0),4)</f>
        <v>1.0108999999999999</v>
      </c>
      <c r="V27" s="275">
        <f>ROUND(VLOOKUP(MID($E27,4,3),'Wochentag F(WT)'!$B$7:$J$22,V$9,0),4)</f>
        <v>1.018</v>
      </c>
      <c r="W27" s="275">
        <f>ROUND(VLOOKUP(MID($E27,4,3),'Wochentag F(WT)'!$B$7:$J$22,W$9,0),4)</f>
        <v>1.0356000000000001</v>
      </c>
      <c r="X27" s="276">
        <f t="shared" ref="X27:X41" si="3">7-SUM(R27:W27)</f>
        <v>1.0106000000000002</v>
      </c>
      <c r="Y27" s="290"/>
    </row>
    <row r="28" spans="2:26" s="143" customFormat="1">
      <c r="B28" s="144">
        <v>17</v>
      </c>
      <c r="C28" s="145" t="str">
        <f t="shared" si="0"/>
        <v>Niederrhein</v>
      </c>
      <c r="D28" s="62" t="s">
        <v>247</v>
      </c>
      <c r="E28" s="166" t="s">
        <v>668</v>
      </c>
      <c r="F28" s="294" t="str">
        <f>VLOOKUP($E28,'BDEW-Standard'!$B$3:$M$94,F$9,0)</f>
        <v>GA4</v>
      </c>
      <c r="H28" s="274">
        <f>ROUND(VLOOKUP($E28,'BDEW-Standard'!$B$3:$M$94,H$9,0),7)</f>
        <v>2.8195655999999998</v>
      </c>
      <c r="I28" s="274">
        <f>ROUND(VLOOKUP($E28,'BDEW-Standard'!$B$3:$M$94,I$9,0),7)</f>
        <v>-36</v>
      </c>
      <c r="J28" s="274">
        <f>ROUND(VLOOKUP($E28,'BDEW-Standard'!$B$3:$M$94,J$9,0),7)</f>
        <v>7.7368518000000002</v>
      </c>
      <c r="K28" s="274">
        <f>ROUND(VLOOKUP($E28,'BDEW-Standard'!$B$3:$M$94,K$9,0),7)</f>
        <v>0.157281</v>
      </c>
      <c r="L28" s="334">
        <f>ROUND(VLOOKUP($E28,'BDEW-Standard'!$B$3:$M$94,L$9,0),1)</f>
        <v>40</v>
      </c>
      <c r="M28" s="274">
        <f>ROUND(VLOOKUP($E28,'BDEW-Standard'!$B$3:$M$94,M$9,0),7)</f>
        <v>0</v>
      </c>
      <c r="N28" s="274">
        <f>ROUND(VLOOKUP($E28,'BDEW-Standard'!$B$3:$M$94,N$9,0),7)</f>
        <v>0</v>
      </c>
      <c r="O28" s="274">
        <f>ROUND(VLOOKUP($E28,'BDEW-Standard'!$B$3:$M$94,O$9,0),7)</f>
        <v>0</v>
      </c>
      <c r="P28" s="274">
        <f>ROUND(VLOOKUP($E28,'BDEW-Standard'!$B$3:$M$94,P$9,0),7)</f>
        <v>0</v>
      </c>
      <c r="Q28" s="335">
        <f t="shared" si="1"/>
        <v>0.96576337685759206</v>
      </c>
      <c r="R28" s="275">
        <f>ROUND(VLOOKUP(MID($E28,4,3),'Wochentag F(WT)'!$B$7:$J$22,R$9,0),4)</f>
        <v>0.93220000000000003</v>
      </c>
      <c r="S28" s="275">
        <f>ROUND(VLOOKUP(MID($E28,4,3),'Wochentag F(WT)'!$B$7:$J$22,S$9,0),4)</f>
        <v>0.98939999999999995</v>
      </c>
      <c r="T28" s="275">
        <f>ROUND(VLOOKUP(MID($E28,4,3),'Wochentag F(WT)'!$B$7:$J$22,T$9,0),4)</f>
        <v>1.0033000000000001</v>
      </c>
      <c r="U28" s="275">
        <f>ROUND(VLOOKUP(MID($E28,4,3),'Wochentag F(WT)'!$B$7:$J$22,U$9,0),4)</f>
        <v>1.0108999999999999</v>
      </c>
      <c r="V28" s="275">
        <f>ROUND(VLOOKUP(MID($E28,4,3),'Wochentag F(WT)'!$B$7:$J$22,V$9,0),4)</f>
        <v>1.018</v>
      </c>
      <c r="W28" s="275">
        <f>ROUND(VLOOKUP(MID($E28,4,3),'Wochentag F(WT)'!$B$7:$J$22,W$9,0),4)</f>
        <v>1.0356000000000001</v>
      </c>
      <c r="X28" s="276">
        <f t="shared" si="3"/>
        <v>1.0106000000000002</v>
      </c>
      <c r="Y28" s="290"/>
    </row>
    <row r="29" spans="2:26" s="143" customFormat="1">
      <c r="B29" s="144">
        <v>18</v>
      </c>
      <c r="C29" s="145" t="str">
        <f t="shared" si="0"/>
        <v>Niederrhein</v>
      </c>
      <c r="D29" s="62" t="s">
        <v>247</v>
      </c>
      <c r="E29" s="166" t="s">
        <v>670</v>
      </c>
      <c r="F29" s="294" t="str">
        <f>VLOOKUP($E29,'BDEW-Standard'!$B$3:$M$94,F$9,0)</f>
        <v>BA3</v>
      </c>
      <c r="H29" s="274">
        <f>ROUND(VLOOKUP($E29,'BDEW-Standard'!$B$3:$M$94,H$9,0),7)</f>
        <v>0.62619619999999998</v>
      </c>
      <c r="I29" s="274">
        <f>ROUND(VLOOKUP($E29,'BDEW-Standard'!$B$3:$M$94,I$9,0),7)</f>
        <v>-33</v>
      </c>
      <c r="J29" s="274">
        <f>ROUND(VLOOKUP($E29,'BDEW-Standard'!$B$3:$M$94,J$9,0),7)</f>
        <v>5.7212303000000002</v>
      </c>
      <c r="K29" s="274">
        <f>ROUND(VLOOKUP($E29,'BDEW-Standard'!$B$3:$M$94,K$9,0),7)</f>
        <v>0.78556550000000003</v>
      </c>
      <c r="L29" s="334">
        <f>ROUND(VLOOKUP($E29,'BDEW-Standard'!$B$3:$M$94,L$9,0),1)</f>
        <v>40</v>
      </c>
      <c r="M29" s="274">
        <f>ROUND(VLOOKUP($E29,'BDEW-Standard'!$B$3:$M$94,M$9,0),7)</f>
        <v>0</v>
      </c>
      <c r="N29" s="274">
        <f>ROUND(VLOOKUP($E29,'BDEW-Standard'!$B$3:$M$94,N$9,0),7)</f>
        <v>0</v>
      </c>
      <c r="O29" s="274">
        <f>ROUND(VLOOKUP($E29,'BDEW-Standard'!$B$3:$M$94,O$9,0),7)</f>
        <v>0</v>
      </c>
      <c r="P29" s="274">
        <f>ROUND(VLOOKUP($E29,'BDEW-Standard'!$B$3:$M$94,P$9,0),7)</f>
        <v>0</v>
      </c>
      <c r="Q29" s="335">
        <f t="shared" si="1"/>
        <v>1.0711738317583412</v>
      </c>
      <c r="R29" s="275">
        <f>ROUND(VLOOKUP(MID($E29,4,3),'Wochentag F(WT)'!$B$7:$J$22,R$9,0),4)</f>
        <v>1.0848</v>
      </c>
      <c r="S29" s="275">
        <f>ROUND(VLOOKUP(MID($E29,4,3),'Wochentag F(WT)'!$B$7:$J$22,S$9,0),4)</f>
        <v>1.1211</v>
      </c>
      <c r="T29" s="275">
        <f>ROUND(VLOOKUP(MID($E29,4,3),'Wochentag F(WT)'!$B$7:$J$22,T$9,0),4)</f>
        <v>1.0769</v>
      </c>
      <c r="U29" s="275">
        <f>ROUND(VLOOKUP(MID($E29,4,3),'Wochentag F(WT)'!$B$7:$J$22,U$9,0),4)</f>
        <v>1.1353</v>
      </c>
      <c r="V29" s="275">
        <f>ROUND(VLOOKUP(MID($E29,4,3),'Wochentag F(WT)'!$B$7:$J$22,V$9,0),4)</f>
        <v>1.1402000000000001</v>
      </c>
      <c r="W29" s="275">
        <f>ROUND(VLOOKUP(MID($E29,4,3),'Wochentag F(WT)'!$B$7:$J$22,W$9,0),4)</f>
        <v>0.48520000000000002</v>
      </c>
      <c r="X29" s="276">
        <f t="shared" si="3"/>
        <v>0.95650000000000013</v>
      </c>
      <c r="Y29" s="290"/>
    </row>
    <row r="30" spans="2:26" s="143" customFormat="1">
      <c r="B30" s="144">
        <v>19</v>
      </c>
      <c r="C30" s="145" t="str">
        <f t="shared" si="0"/>
        <v>Niederrhein</v>
      </c>
      <c r="D30" s="62" t="s">
        <v>247</v>
      </c>
      <c r="E30" s="166" t="s">
        <v>669</v>
      </c>
      <c r="F30" s="294" t="str">
        <f>VLOOKUP($E30,'BDEW-Standard'!$B$3:$M$94,F$9,0)</f>
        <v>BA4</v>
      </c>
      <c r="H30" s="274">
        <f>ROUND(VLOOKUP($E30,'BDEW-Standard'!$B$3:$M$94,H$9,0),7)</f>
        <v>0.93158890000000005</v>
      </c>
      <c r="I30" s="274">
        <f>ROUND(VLOOKUP($E30,'BDEW-Standard'!$B$3:$M$94,I$9,0),7)</f>
        <v>-33.35</v>
      </c>
      <c r="J30" s="274">
        <f>ROUND(VLOOKUP($E30,'BDEW-Standard'!$B$3:$M$94,J$9,0),7)</f>
        <v>5.7212303000000002</v>
      </c>
      <c r="K30" s="274">
        <f>ROUND(VLOOKUP($E30,'BDEW-Standard'!$B$3:$M$94,K$9,0),7)</f>
        <v>0.66564939999999995</v>
      </c>
      <c r="L30" s="334">
        <f>ROUND(VLOOKUP($E30,'BDEW-Standard'!$B$3:$M$94,L$9,0),1)</f>
        <v>40</v>
      </c>
      <c r="M30" s="274">
        <f>ROUND(VLOOKUP($E30,'BDEW-Standard'!$B$3:$M$94,M$9,0),7)</f>
        <v>0</v>
      </c>
      <c r="N30" s="274">
        <f>ROUND(VLOOKUP($E30,'BDEW-Standard'!$B$3:$M$94,N$9,0),7)</f>
        <v>0</v>
      </c>
      <c r="O30" s="274">
        <f>ROUND(VLOOKUP($E30,'BDEW-Standard'!$B$3:$M$94,O$9,0),7)</f>
        <v>0</v>
      </c>
      <c r="P30" s="274">
        <f>ROUND(VLOOKUP($E30,'BDEW-Standard'!$B$3:$M$94,P$9,0),7)</f>
        <v>0</v>
      </c>
      <c r="Q30" s="335">
        <f t="shared" si="1"/>
        <v>1.0766391850538448</v>
      </c>
      <c r="R30" s="275">
        <f>ROUND(VLOOKUP(MID($E30,4,3),'Wochentag F(WT)'!$B$7:$J$22,R$9,0),4)</f>
        <v>1.0848</v>
      </c>
      <c r="S30" s="275">
        <f>ROUND(VLOOKUP(MID($E30,4,3),'Wochentag F(WT)'!$B$7:$J$22,S$9,0),4)</f>
        <v>1.1211</v>
      </c>
      <c r="T30" s="275">
        <f>ROUND(VLOOKUP(MID($E30,4,3),'Wochentag F(WT)'!$B$7:$J$22,T$9,0),4)</f>
        <v>1.0769</v>
      </c>
      <c r="U30" s="275">
        <f>ROUND(VLOOKUP(MID($E30,4,3),'Wochentag F(WT)'!$B$7:$J$22,U$9,0),4)</f>
        <v>1.1353</v>
      </c>
      <c r="V30" s="275">
        <f>ROUND(VLOOKUP(MID($E30,4,3),'Wochentag F(WT)'!$B$7:$J$22,V$9,0),4)</f>
        <v>1.1402000000000001</v>
      </c>
      <c r="W30" s="275">
        <f>ROUND(VLOOKUP(MID($E30,4,3),'Wochentag F(WT)'!$B$7:$J$22,W$9,0),4)</f>
        <v>0.48520000000000002</v>
      </c>
      <c r="X30" s="276">
        <f t="shared" si="3"/>
        <v>0.95650000000000013</v>
      </c>
      <c r="Y30" s="290"/>
    </row>
    <row r="31" spans="2:26" s="143" customFormat="1">
      <c r="B31" s="144">
        <v>20</v>
      </c>
      <c r="C31" s="145" t="str">
        <f t="shared" si="0"/>
        <v>Niederrhein</v>
      </c>
      <c r="D31" s="62" t="s">
        <v>247</v>
      </c>
      <c r="E31" s="166" t="s">
        <v>671</v>
      </c>
      <c r="F31" s="294" t="str">
        <f>VLOOKUP($E31,'BDEW-Standard'!$B$3:$M$94,F$9,0)</f>
        <v>GB3</v>
      </c>
      <c r="H31" s="274">
        <f>ROUND(VLOOKUP($E31,'BDEW-Standard'!$B$3:$M$94,H$9,0),7)</f>
        <v>3.2572741999999999</v>
      </c>
      <c r="I31" s="274">
        <f>ROUND(VLOOKUP($E31,'BDEW-Standard'!$B$3:$M$94,I$9,0),7)</f>
        <v>-37.5</v>
      </c>
      <c r="J31" s="274">
        <f>ROUND(VLOOKUP($E31,'BDEW-Standard'!$B$3:$M$94,J$9,0),7)</f>
        <v>6.3462148000000003</v>
      </c>
      <c r="K31" s="274">
        <f>ROUND(VLOOKUP($E31,'BDEW-Standard'!$B$3:$M$94,K$9,0),7)</f>
        <v>8.6622699999999997E-2</v>
      </c>
      <c r="L31" s="334">
        <f>ROUND(VLOOKUP($E31,'BDEW-Standard'!$B$3:$M$94,L$9,0),1)</f>
        <v>40</v>
      </c>
      <c r="M31" s="274">
        <f>ROUND(VLOOKUP($E31,'BDEW-Standard'!$B$3:$M$94,M$9,0),7)</f>
        <v>0</v>
      </c>
      <c r="N31" s="274">
        <f>ROUND(VLOOKUP($E31,'BDEW-Standard'!$B$3:$M$94,N$9,0),7)</f>
        <v>0</v>
      </c>
      <c r="O31" s="274">
        <f>ROUND(VLOOKUP($E31,'BDEW-Standard'!$B$3:$M$94,O$9,0),7)</f>
        <v>0</v>
      </c>
      <c r="P31" s="274">
        <f>ROUND(VLOOKUP($E31,'BDEW-Standard'!$B$3:$M$94,P$9,0),7)</f>
        <v>0</v>
      </c>
      <c r="Q31" s="335">
        <f t="shared" si="1"/>
        <v>0.9584556323619029</v>
      </c>
      <c r="R31" s="275">
        <f>ROUND(VLOOKUP(MID($E31,4,3),'Wochentag F(WT)'!$B$7:$J$22,R$9,0),4)</f>
        <v>0.98970000000000002</v>
      </c>
      <c r="S31" s="275">
        <f>ROUND(VLOOKUP(MID($E31,4,3),'Wochentag F(WT)'!$B$7:$J$22,S$9,0),4)</f>
        <v>0.9627</v>
      </c>
      <c r="T31" s="275">
        <f>ROUND(VLOOKUP(MID($E31,4,3),'Wochentag F(WT)'!$B$7:$J$22,T$9,0),4)</f>
        <v>1.0507</v>
      </c>
      <c r="U31" s="275">
        <f>ROUND(VLOOKUP(MID($E31,4,3),'Wochentag F(WT)'!$B$7:$J$22,U$9,0),4)</f>
        <v>1.0551999999999999</v>
      </c>
      <c r="V31" s="275">
        <f>ROUND(VLOOKUP(MID($E31,4,3),'Wochentag F(WT)'!$B$7:$J$22,V$9,0),4)</f>
        <v>1.0297000000000001</v>
      </c>
      <c r="W31" s="275">
        <f>ROUND(VLOOKUP(MID($E31,4,3),'Wochentag F(WT)'!$B$7:$J$22,W$9,0),4)</f>
        <v>0.97670000000000001</v>
      </c>
      <c r="X31" s="276">
        <f t="shared" si="3"/>
        <v>0.9352999999999998</v>
      </c>
      <c r="Y31" s="290"/>
    </row>
    <row r="32" spans="2:26" s="143" customFormat="1">
      <c r="B32" s="144">
        <v>21</v>
      </c>
      <c r="C32" s="145" t="str">
        <f t="shared" si="0"/>
        <v>Niederrhein</v>
      </c>
      <c r="D32" s="62" t="s">
        <v>247</v>
      </c>
      <c r="E32" s="166" t="s">
        <v>672</v>
      </c>
      <c r="F32" s="294" t="str">
        <f>VLOOKUP($E32,'BDEW-Standard'!$B$3:$M$94,F$9,0)</f>
        <v>GB4</v>
      </c>
      <c r="H32" s="274">
        <f>ROUND(VLOOKUP($E32,'BDEW-Standard'!$B$3:$M$94,H$9,0),7)</f>
        <v>3.6017736</v>
      </c>
      <c r="I32" s="274">
        <f>ROUND(VLOOKUP($E32,'BDEW-Standard'!$B$3:$M$94,I$9,0),7)</f>
        <v>-37.882536799999997</v>
      </c>
      <c r="J32" s="274">
        <f>ROUND(VLOOKUP($E32,'BDEW-Standard'!$B$3:$M$94,J$9,0),7)</f>
        <v>6.9836070000000001</v>
      </c>
      <c r="K32" s="274">
        <f>ROUND(VLOOKUP($E32,'BDEW-Standard'!$B$3:$M$94,K$9,0),7)</f>
        <v>5.4826199999999999E-2</v>
      </c>
      <c r="L32" s="334">
        <f>ROUND(VLOOKUP($E32,'BDEW-Standard'!$B$3:$M$94,L$9,0),1)</f>
        <v>40</v>
      </c>
      <c r="M32" s="274">
        <f>ROUND(VLOOKUP($E32,'BDEW-Standard'!$B$3:$M$94,M$9,0),7)</f>
        <v>0</v>
      </c>
      <c r="N32" s="274">
        <f>ROUND(VLOOKUP($E32,'BDEW-Standard'!$B$3:$M$94,N$9,0),7)</f>
        <v>0</v>
      </c>
      <c r="O32" s="274">
        <f>ROUND(VLOOKUP($E32,'BDEW-Standard'!$B$3:$M$94,O$9,0),7)</f>
        <v>0</v>
      </c>
      <c r="P32" s="274">
        <f>ROUND(VLOOKUP($E32,'BDEW-Standard'!$B$3:$M$94,P$9,0),7)</f>
        <v>0</v>
      </c>
      <c r="Q32" s="335">
        <f t="shared" si="1"/>
        <v>0.90239375975311864</v>
      </c>
      <c r="R32" s="275">
        <f>ROUND(VLOOKUP(MID($E32,4,3),'Wochentag F(WT)'!$B$7:$J$22,R$9,0),4)</f>
        <v>0.98970000000000002</v>
      </c>
      <c r="S32" s="275">
        <f>ROUND(VLOOKUP(MID($E32,4,3),'Wochentag F(WT)'!$B$7:$J$22,S$9,0),4)</f>
        <v>0.9627</v>
      </c>
      <c r="T32" s="275">
        <f>ROUND(VLOOKUP(MID($E32,4,3),'Wochentag F(WT)'!$B$7:$J$22,T$9,0),4)</f>
        <v>1.0507</v>
      </c>
      <c r="U32" s="275">
        <f>ROUND(VLOOKUP(MID($E32,4,3),'Wochentag F(WT)'!$B$7:$J$22,U$9,0),4)</f>
        <v>1.0551999999999999</v>
      </c>
      <c r="V32" s="275">
        <f>ROUND(VLOOKUP(MID($E32,4,3),'Wochentag F(WT)'!$B$7:$J$22,V$9,0),4)</f>
        <v>1.0297000000000001</v>
      </c>
      <c r="W32" s="275">
        <f>ROUND(VLOOKUP(MID($E32,4,3),'Wochentag F(WT)'!$B$7:$J$22,W$9,0),4)</f>
        <v>0.97670000000000001</v>
      </c>
      <c r="X32" s="276">
        <f t="shared" si="3"/>
        <v>0.9352999999999998</v>
      </c>
      <c r="Y32" s="290"/>
    </row>
    <row r="33" spans="2:25" s="143" customFormat="1">
      <c r="B33" s="144">
        <v>22</v>
      </c>
      <c r="C33" s="145" t="str">
        <f t="shared" si="0"/>
        <v>Niederrhein</v>
      </c>
      <c r="D33" s="62" t="s">
        <v>247</v>
      </c>
      <c r="E33" s="166" t="s">
        <v>673</v>
      </c>
      <c r="F33" s="294" t="str">
        <f>VLOOKUP($E33,'BDEW-Standard'!$B$3:$M$94,F$9,0)</f>
        <v>PD3</v>
      </c>
      <c r="H33" s="274">
        <f>ROUND(VLOOKUP($E33,'BDEW-Standard'!$B$3:$M$94,H$9,0),7)</f>
        <v>3.2</v>
      </c>
      <c r="I33" s="274">
        <f>ROUND(VLOOKUP($E33,'BDEW-Standard'!$B$3:$M$94,I$9,0),7)</f>
        <v>-35.799999999999997</v>
      </c>
      <c r="J33" s="274">
        <f>ROUND(VLOOKUP($E33,'BDEW-Standard'!$B$3:$M$94,J$9,0),7)</f>
        <v>8.4</v>
      </c>
      <c r="K33" s="274">
        <f>ROUND(VLOOKUP($E33,'BDEW-Standard'!$B$3:$M$94,K$9,0),7)</f>
        <v>9.3848600000000004E-2</v>
      </c>
      <c r="L33" s="334">
        <f>ROUND(VLOOKUP($E33,'BDEW-Standard'!$B$3:$M$94,L$9,0),1)</f>
        <v>40</v>
      </c>
      <c r="M33" s="274">
        <f>ROUND(VLOOKUP($E33,'BDEW-Standard'!$B$3:$M$94,M$9,0),7)</f>
        <v>0</v>
      </c>
      <c r="N33" s="274">
        <f>ROUND(VLOOKUP($E33,'BDEW-Standard'!$B$3:$M$94,N$9,0),7)</f>
        <v>0</v>
      </c>
      <c r="O33" s="274">
        <f>ROUND(VLOOKUP($E33,'BDEW-Standard'!$B$3:$M$94,O$9,0),7)</f>
        <v>0</v>
      </c>
      <c r="P33" s="274">
        <f>ROUND(VLOOKUP($E33,'BDEW-Standard'!$B$3:$M$94,P$9,0),7)</f>
        <v>0</v>
      </c>
      <c r="Q33" s="335">
        <f t="shared" si="1"/>
        <v>0.99106250024889242</v>
      </c>
      <c r="R33" s="275">
        <f>ROUND(VLOOKUP(MID($E33,4,3),'Wochentag F(WT)'!$B$7:$J$22,R$9,0),4)</f>
        <v>1.0214000000000001</v>
      </c>
      <c r="S33" s="275">
        <f>ROUND(VLOOKUP(MID($E33,4,3),'Wochentag F(WT)'!$B$7:$J$22,S$9,0),4)</f>
        <v>1.0866</v>
      </c>
      <c r="T33" s="275">
        <f>ROUND(VLOOKUP(MID($E33,4,3),'Wochentag F(WT)'!$B$7:$J$22,T$9,0),4)</f>
        <v>1.0720000000000001</v>
      </c>
      <c r="U33" s="275">
        <f>ROUND(VLOOKUP(MID($E33,4,3),'Wochentag F(WT)'!$B$7:$J$22,U$9,0),4)</f>
        <v>1.0557000000000001</v>
      </c>
      <c r="V33" s="275">
        <f>ROUND(VLOOKUP(MID($E33,4,3),'Wochentag F(WT)'!$B$7:$J$22,V$9,0),4)</f>
        <v>1.0117</v>
      </c>
      <c r="W33" s="275">
        <f>ROUND(VLOOKUP(MID($E33,4,3),'Wochentag F(WT)'!$B$7:$J$22,W$9,0),4)</f>
        <v>0.90010000000000001</v>
      </c>
      <c r="X33" s="276">
        <f t="shared" si="3"/>
        <v>0.85249999999999915</v>
      </c>
      <c r="Y33" s="290"/>
    </row>
    <row r="34" spans="2:25" s="143" customFormat="1">
      <c r="B34" s="144">
        <v>23</v>
      </c>
      <c r="C34" s="145" t="str">
        <f t="shared" si="0"/>
        <v>Niederrhein</v>
      </c>
      <c r="D34" s="62" t="s">
        <v>247</v>
      </c>
      <c r="E34" s="166" t="s">
        <v>674</v>
      </c>
      <c r="F34" s="294" t="str">
        <f>VLOOKUP($E34,'BDEW-Standard'!$B$3:$M$94,F$9,0)</f>
        <v>PD4</v>
      </c>
      <c r="H34" s="274">
        <f>ROUND(VLOOKUP($E34,'BDEW-Standard'!$B$3:$M$94,H$9,0),7)</f>
        <v>3.85</v>
      </c>
      <c r="I34" s="274">
        <f>ROUND(VLOOKUP($E34,'BDEW-Standard'!$B$3:$M$94,I$9,0),7)</f>
        <v>-37</v>
      </c>
      <c r="J34" s="274">
        <f>ROUND(VLOOKUP($E34,'BDEW-Standard'!$B$3:$M$94,J$9,0),7)</f>
        <v>10.2405021</v>
      </c>
      <c r="K34" s="274">
        <f>ROUND(VLOOKUP($E34,'BDEW-Standard'!$B$3:$M$94,K$9,0),7)</f>
        <v>4.6924300000000002E-2</v>
      </c>
      <c r="L34" s="334">
        <f>ROUND(VLOOKUP($E34,'BDEW-Standard'!$B$3:$M$94,L$9,0),1)</f>
        <v>40</v>
      </c>
      <c r="M34" s="274">
        <f>ROUND(VLOOKUP($E34,'BDEW-Standard'!$B$3:$M$94,M$9,0),7)</f>
        <v>0</v>
      </c>
      <c r="N34" s="274">
        <f>ROUND(VLOOKUP($E34,'BDEW-Standard'!$B$3:$M$94,N$9,0),7)</f>
        <v>0</v>
      </c>
      <c r="O34" s="274">
        <f>ROUND(VLOOKUP($E34,'BDEW-Standard'!$B$3:$M$94,O$9,0),7)</f>
        <v>0</v>
      </c>
      <c r="P34" s="274">
        <f>ROUND(VLOOKUP($E34,'BDEW-Standard'!$B$3:$M$94,P$9,0),7)</f>
        <v>0</v>
      </c>
      <c r="Q34" s="335">
        <f t="shared" si="1"/>
        <v>0.75691065279879233</v>
      </c>
      <c r="R34" s="275">
        <f>ROUND(VLOOKUP(MID($E34,4,3),'Wochentag F(WT)'!$B$7:$J$22,R$9,0),4)</f>
        <v>1.0214000000000001</v>
      </c>
      <c r="S34" s="275">
        <f>ROUND(VLOOKUP(MID($E34,4,3),'Wochentag F(WT)'!$B$7:$J$22,S$9,0),4)</f>
        <v>1.0866</v>
      </c>
      <c r="T34" s="275">
        <f>ROUND(VLOOKUP(MID($E34,4,3),'Wochentag F(WT)'!$B$7:$J$22,T$9,0),4)</f>
        <v>1.0720000000000001</v>
      </c>
      <c r="U34" s="275">
        <f>ROUND(VLOOKUP(MID($E34,4,3),'Wochentag F(WT)'!$B$7:$J$22,U$9,0),4)</f>
        <v>1.0557000000000001</v>
      </c>
      <c r="V34" s="275">
        <f>ROUND(VLOOKUP(MID($E34,4,3),'Wochentag F(WT)'!$B$7:$J$22,V$9,0),4)</f>
        <v>1.0117</v>
      </c>
      <c r="W34" s="275">
        <f>ROUND(VLOOKUP(MID($E34,4,3),'Wochentag F(WT)'!$B$7:$J$22,W$9,0),4)</f>
        <v>0.90010000000000001</v>
      </c>
      <c r="X34" s="276">
        <f t="shared" si="3"/>
        <v>0.85249999999999915</v>
      </c>
      <c r="Y34" s="290"/>
    </row>
    <row r="35" spans="2:25" s="143" customFormat="1">
      <c r="B35" s="144">
        <v>24</v>
      </c>
      <c r="C35" s="145" t="str">
        <f t="shared" si="0"/>
        <v>Niederrhein</v>
      </c>
      <c r="D35" s="62" t="s">
        <v>247</v>
      </c>
      <c r="E35" s="166" t="s">
        <v>675</v>
      </c>
      <c r="F35" s="294" t="str">
        <f>VLOOKUP($E35,'BDEW-Standard'!$B$3:$M$94,F$9,0)</f>
        <v>MF3</v>
      </c>
      <c r="H35" s="274">
        <f>ROUND(VLOOKUP($E35,'BDEW-Standard'!$B$3:$M$94,H$9,0),7)</f>
        <v>2.3877617999999998</v>
      </c>
      <c r="I35" s="274">
        <f>ROUND(VLOOKUP($E35,'BDEW-Standard'!$B$3:$M$94,I$9,0),7)</f>
        <v>-34.721360500000003</v>
      </c>
      <c r="J35" s="274">
        <f>ROUND(VLOOKUP($E35,'BDEW-Standard'!$B$3:$M$94,J$9,0),7)</f>
        <v>5.8164303999999998</v>
      </c>
      <c r="K35" s="274">
        <f>ROUND(VLOOKUP($E35,'BDEW-Standard'!$B$3:$M$94,K$9,0),7)</f>
        <v>0.12081939999999999</v>
      </c>
      <c r="L35" s="334">
        <f>ROUND(VLOOKUP($E35,'BDEW-Standard'!$B$3:$M$94,L$9,0),1)</f>
        <v>40</v>
      </c>
      <c r="M35" s="274">
        <f>ROUND(VLOOKUP($E35,'BDEW-Standard'!$B$3:$M$94,M$9,0),7)</f>
        <v>0</v>
      </c>
      <c r="N35" s="274">
        <f>ROUND(VLOOKUP($E35,'BDEW-Standard'!$B$3:$M$94,N$9,0),7)</f>
        <v>0</v>
      </c>
      <c r="O35" s="274">
        <f>ROUND(VLOOKUP($E35,'BDEW-Standard'!$B$3:$M$94,O$9,0),7)</f>
        <v>0</v>
      </c>
      <c r="P35" s="274">
        <f>ROUND(VLOOKUP($E35,'BDEW-Standard'!$B$3:$M$94,P$9,0),7)</f>
        <v>0</v>
      </c>
      <c r="Q35" s="335">
        <f t="shared" si="1"/>
        <v>1.0365184142102302</v>
      </c>
      <c r="R35" s="275">
        <f>ROUND(VLOOKUP(MID($E35,4,3),'Wochentag F(WT)'!$B$7:$J$22,R$9,0),4)</f>
        <v>1.0354000000000001</v>
      </c>
      <c r="S35" s="275">
        <f>ROUND(VLOOKUP(MID($E35,4,3),'Wochentag F(WT)'!$B$7:$J$22,S$9,0),4)</f>
        <v>1.0523</v>
      </c>
      <c r="T35" s="275">
        <f>ROUND(VLOOKUP(MID($E35,4,3),'Wochentag F(WT)'!$B$7:$J$22,T$9,0),4)</f>
        <v>1.0448999999999999</v>
      </c>
      <c r="U35" s="275">
        <f>ROUND(VLOOKUP(MID($E35,4,3),'Wochentag F(WT)'!$B$7:$J$22,U$9,0),4)</f>
        <v>1.0494000000000001</v>
      </c>
      <c r="V35" s="275">
        <f>ROUND(VLOOKUP(MID($E35,4,3),'Wochentag F(WT)'!$B$7:$J$22,V$9,0),4)</f>
        <v>0.98850000000000005</v>
      </c>
      <c r="W35" s="275">
        <f>ROUND(VLOOKUP(MID($E35,4,3),'Wochentag F(WT)'!$B$7:$J$22,W$9,0),4)</f>
        <v>0.88600000000000001</v>
      </c>
      <c r="X35" s="276">
        <f t="shared" si="3"/>
        <v>0.94349999999999934</v>
      </c>
      <c r="Y35" s="290"/>
    </row>
    <row r="36" spans="2:25" s="143" customFormat="1">
      <c r="B36" s="144">
        <v>25</v>
      </c>
      <c r="C36" s="145" t="str">
        <f t="shared" si="0"/>
        <v>Niederrhein</v>
      </c>
      <c r="D36" s="62" t="s">
        <v>247</v>
      </c>
      <c r="E36" s="166" t="s">
        <v>676</v>
      </c>
      <c r="F36" s="294" t="str">
        <f>VLOOKUP($E36,'BDEW-Standard'!$B$3:$M$94,F$9,0)</f>
        <v>HD3</v>
      </c>
      <c r="H36" s="274">
        <f>ROUND(VLOOKUP($E36,'BDEW-Standard'!$B$3:$M$94,H$9,0),7)</f>
        <v>2.5792510000000002</v>
      </c>
      <c r="I36" s="274">
        <f>ROUND(VLOOKUP($E36,'BDEW-Standard'!$B$3:$M$94,I$9,0),7)</f>
        <v>-35.681614400000001</v>
      </c>
      <c r="J36" s="274">
        <f>ROUND(VLOOKUP($E36,'BDEW-Standard'!$B$3:$M$94,J$9,0),7)</f>
        <v>6.6857975999999999</v>
      </c>
      <c r="K36" s="274">
        <f>ROUND(VLOOKUP($E36,'BDEW-Standard'!$B$3:$M$94,K$9,0),7)</f>
        <v>0.19955410000000001</v>
      </c>
      <c r="L36" s="334">
        <f>ROUND(VLOOKUP($E36,'BDEW-Standard'!$B$3:$M$94,L$9,0),1)</f>
        <v>40</v>
      </c>
      <c r="M36" s="274">
        <f>ROUND(VLOOKUP($E36,'BDEW-Standard'!$B$3:$M$94,M$9,0),7)</f>
        <v>0</v>
      </c>
      <c r="N36" s="274">
        <f>ROUND(VLOOKUP($E36,'BDEW-Standard'!$B$3:$M$94,N$9,0),7)</f>
        <v>0</v>
      </c>
      <c r="O36" s="274">
        <f>ROUND(VLOOKUP($E36,'BDEW-Standard'!$B$3:$M$94,O$9,0),7)</f>
        <v>0</v>
      </c>
      <c r="P36" s="274">
        <f>ROUND(VLOOKUP($E36,'BDEW-Standard'!$B$3:$M$94,P$9,0),7)</f>
        <v>0</v>
      </c>
      <c r="Q36" s="335">
        <f t="shared" si="1"/>
        <v>1.0393994293439688</v>
      </c>
      <c r="R36" s="275">
        <f>ROUND(VLOOKUP(MID($E36,4,3),'Wochentag F(WT)'!$B$7:$J$22,R$9,0),4)</f>
        <v>1.03</v>
      </c>
      <c r="S36" s="275">
        <f>ROUND(VLOOKUP(MID($E36,4,3),'Wochentag F(WT)'!$B$7:$J$22,S$9,0),4)</f>
        <v>1.03</v>
      </c>
      <c r="T36" s="275">
        <f>ROUND(VLOOKUP(MID($E36,4,3),'Wochentag F(WT)'!$B$7:$J$22,T$9,0),4)</f>
        <v>1.02</v>
      </c>
      <c r="U36" s="275">
        <f>ROUND(VLOOKUP(MID($E36,4,3),'Wochentag F(WT)'!$B$7:$J$22,U$9,0),4)</f>
        <v>1.03</v>
      </c>
      <c r="V36" s="275">
        <f>ROUND(VLOOKUP(MID($E36,4,3),'Wochentag F(WT)'!$B$7:$J$22,V$9,0),4)</f>
        <v>1.01</v>
      </c>
      <c r="W36" s="275">
        <f>ROUND(VLOOKUP(MID($E36,4,3),'Wochentag F(WT)'!$B$7:$J$22,W$9,0),4)</f>
        <v>0.93</v>
      </c>
      <c r="X36" s="276">
        <f t="shared" si="3"/>
        <v>0.95000000000000018</v>
      </c>
      <c r="Y36" s="290"/>
    </row>
    <row r="37" spans="2:25" s="143" customFormat="1">
      <c r="B37" s="144">
        <v>26</v>
      </c>
      <c r="C37" s="145" t="str">
        <f t="shared" si="0"/>
        <v>Niederrhein</v>
      </c>
      <c r="D37" s="62" t="s">
        <v>247</v>
      </c>
      <c r="E37" s="166" t="s">
        <v>677</v>
      </c>
      <c r="F37" s="294" t="str">
        <f>VLOOKUP($E37,'BDEW-Standard'!$B$3:$M$94,F$9,0)</f>
        <v>HD4</v>
      </c>
      <c r="H37" s="274">
        <f>ROUND(VLOOKUP($E37,'BDEW-Standard'!$B$3:$M$94,H$9,0),7)</f>
        <v>3.0084346000000002</v>
      </c>
      <c r="I37" s="274">
        <f>ROUND(VLOOKUP($E37,'BDEW-Standard'!$B$3:$M$94,I$9,0),7)</f>
        <v>-36.607845300000001</v>
      </c>
      <c r="J37" s="274">
        <f>ROUND(VLOOKUP($E37,'BDEW-Standard'!$B$3:$M$94,J$9,0),7)</f>
        <v>7.3211870000000001</v>
      </c>
      <c r="K37" s="274">
        <f>ROUND(VLOOKUP($E37,'BDEW-Standard'!$B$3:$M$94,K$9,0),7)</f>
        <v>0.15496599999999999</v>
      </c>
      <c r="L37" s="334">
        <f>ROUND(VLOOKUP($E37,'BDEW-Standard'!$B$3:$M$94,L$9,0),1)</f>
        <v>40</v>
      </c>
      <c r="M37" s="274">
        <f>ROUND(VLOOKUP($E37,'BDEW-Standard'!$B$3:$M$94,M$9,0),7)</f>
        <v>0</v>
      </c>
      <c r="N37" s="274">
        <f>ROUND(VLOOKUP($E37,'BDEW-Standard'!$B$3:$M$94,N$9,0),7)</f>
        <v>0</v>
      </c>
      <c r="O37" s="274">
        <f>ROUND(VLOOKUP($E37,'BDEW-Standard'!$B$3:$M$94,O$9,0),7)</f>
        <v>0</v>
      </c>
      <c r="P37" s="274">
        <f>ROUND(VLOOKUP($E37,'BDEW-Standard'!$B$3:$M$94,P$9,0),7)</f>
        <v>0</v>
      </c>
      <c r="Q37" s="335">
        <f t="shared" si="1"/>
        <v>0.97302438504000599</v>
      </c>
      <c r="R37" s="275">
        <f>ROUND(VLOOKUP(MID($E37,4,3),'Wochentag F(WT)'!$B$7:$J$22,R$9,0),4)</f>
        <v>1.03</v>
      </c>
      <c r="S37" s="275">
        <f>ROUND(VLOOKUP(MID($E37,4,3),'Wochentag F(WT)'!$B$7:$J$22,S$9,0),4)</f>
        <v>1.03</v>
      </c>
      <c r="T37" s="275">
        <f>ROUND(VLOOKUP(MID($E37,4,3),'Wochentag F(WT)'!$B$7:$J$22,T$9,0),4)</f>
        <v>1.02</v>
      </c>
      <c r="U37" s="275">
        <f>ROUND(VLOOKUP(MID($E37,4,3),'Wochentag F(WT)'!$B$7:$J$22,U$9,0),4)</f>
        <v>1.03</v>
      </c>
      <c r="V37" s="275">
        <f>ROUND(VLOOKUP(MID($E37,4,3),'Wochentag F(WT)'!$B$7:$J$22,V$9,0),4)</f>
        <v>1.01</v>
      </c>
      <c r="W37" s="275">
        <f>ROUND(VLOOKUP(MID($E37,4,3),'Wochentag F(WT)'!$B$7:$J$22,W$9,0),4)</f>
        <v>0.93</v>
      </c>
      <c r="X37" s="276">
        <f t="shared" si="3"/>
        <v>0.95000000000000018</v>
      </c>
      <c r="Y37" s="290"/>
    </row>
    <row r="38" spans="2:25" s="143" customFormat="1">
      <c r="B38" s="144">
        <v>27</v>
      </c>
      <c r="C38" s="145" t="str">
        <f t="shared" si="0"/>
        <v>Niederrhein</v>
      </c>
      <c r="D38" s="62" t="s">
        <v>247</v>
      </c>
      <c r="E38" s="166" t="s">
        <v>678</v>
      </c>
      <c r="F38" s="294" t="str">
        <f>VLOOKUP($E38,'BDEW-Standard'!$B$3:$M$94,F$9,0)</f>
        <v>1D4</v>
      </c>
      <c r="H38" s="274">
        <f>ROUND(VLOOKUP($E38,'BDEW-Standard'!$B$3:$M$94,H$9,0),7)</f>
        <v>1.3819663</v>
      </c>
      <c r="I38" s="274">
        <f>ROUND(VLOOKUP($E38,'BDEW-Standard'!$B$3:$M$94,I$9,0),7)</f>
        <v>-37.412415500000002</v>
      </c>
      <c r="J38" s="274">
        <f>ROUND(VLOOKUP($E38,'BDEW-Standard'!$B$3:$M$94,J$9,0),7)</f>
        <v>6.1723179000000004</v>
      </c>
      <c r="K38" s="274">
        <f>ROUND(VLOOKUP($E38,'BDEW-Standard'!$B$3:$M$94,K$9,0),7)</f>
        <v>3.9628400000000001E-2</v>
      </c>
      <c r="L38" s="334">
        <f>ROUND(VLOOKUP($E38,'BDEW-Standard'!$B$3:$M$94,L$9,0),1)</f>
        <v>40</v>
      </c>
      <c r="M38" s="274">
        <f>ROUND(VLOOKUP($E38,'BDEW-Standard'!$B$3:$M$94,M$9,0),7)</f>
        <v>-6.7215899999999995E-2</v>
      </c>
      <c r="N38" s="274">
        <f>ROUND(VLOOKUP($E38,'BDEW-Standard'!$B$3:$M$94,N$9,0),7)</f>
        <v>1.1167138000000001</v>
      </c>
      <c r="O38" s="274">
        <f>ROUND(VLOOKUP($E38,'BDEW-Standard'!$B$3:$M$94,O$9,0),7)</f>
        <v>-1.9981999999999999E-3</v>
      </c>
      <c r="P38" s="274">
        <f>ROUND(VLOOKUP($E38,'BDEW-Standard'!$B$3:$M$94,P$9,0),7)</f>
        <v>0.13550699999999999</v>
      </c>
      <c r="Q38" s="335">
        <f t="shared" si="1"/>
        <v>0.99999978578617399</v>
      </c>
      <c r="R38" s="275">
        <f>ROUND(VLOOKUP(MID($E38,4,3),'Wochentag F(WT)'!$B$7:$J$22,R$9,0),4)</f>
        <v>1</v>
      </c>
      <c r="S38" s="275">
        <f>ROUND(VLOOKUP(MID($E38,4,3),'Wochentag F(WT)'!$B$7:$J$22,S$9,0),4)</f>
        <v>1</v>
      </c>
      <c r="T38" s="275">
        <f>ROUND(VLOOKUP(MID($E38,4,3),'Wochentag F(WT)'!$B$7:$J$22,T$9,0),4)</f>
        <v>1</v>
      </c>
      <c r="U38" s="275">
        <f>ROUND(VLOOKUP(MID($E38,4,3),'Wochentag F(WT)'!$B$7:$J$22,U$9,0),4)</f>
        <v>1</v>
      </c>
      <c r="V38" s="275">
        <f>ROUND(VLOOKUP(MID($E38,4,3),'Wochentag F(WT)'!$B$7:$J$22,V$9,0),4)</f>
        <v>1</v>
      </c>
      <c r="W38" s="275">
        <f>ROUND(VLOOKUP(MID($E38,4,3),'Wochentag F(WT)'!$B$7:$J$22,W$9,0),4)</f>
        <v>1</v>
      </c>
      <c r="X38" s="276">
        <f t="shared" si="3"/>
        <v>1</v>
      </c>
      <c r="Y38" s="290"/>
    </row>
    <row r="39" spans="2:25" s="143" customFormat="1">
      <c r="B39" s="144">
        <v>28</v>
      </c>
      <c r="C39" s="145" t="str">
        <f t="shared" si="0"/>
        <v>Niederrhein</v>
      </c>
      <c r="D39" s="62" t="s">
        <v>247</v>
      </c>
      <c r="E39" s="166" t="s">
        <v>679</v>
      </c>
      <c r="F39" s="294" t="str">
        <f>VLOOKUP($E39,'BDEW-Standard'!$B$3:$M$94,F$9,0)</f>
        <v>2D4</v>
      </c>
      <c r="H39" s="274">
        <f>ROUND(VLOOKUP($E39,'BDEW-Standard'!$B$3:$M$94,H$9,0),7)</f>
        <v>1.0443538000000001</v>
      </c>
      <c r="I39" s="274">
        <f>ROUND(VLOOKUP($E39,'BDEW-Standard'!$B$3:$M$94,I$9,0),7)</f>
        <v>-35.033375399999997</v>
      </c>
      <c r="J39" s="274">
        <f>ROUND(VLOOKUP($E39,'BDEW-Standard'!$B$3:$M$94,J$9,0),7)</f>
        <v>6.2240634000000004</v>
      </c>
      <c r="K39" s="274">
        <f>ROUND(VLOOKUP($E39,'BDEW-Standard'!$B$3:$M$94,K$9,0),7)</f>
        <v>5.0291700000000002E-2</v>
      </c>
      <c r="L39" s="334">
        <f>ROUND(VLOOKUP($E39,'BDEW-Standard'!$B$3:$M$94,L$9,0),1)</f>
        <v>40</v>
      </c>
      <c r="M39" s="274">
        <f>ROUND(VLOOKUP($E39,'BDEW-Standard'!$B$3:$M$94,M$9,0),7)</f>
        <v>-5.3582999999999999E-2</v>
      </c>
      <c r="N39" s="274">
        <f>ROUND(VLOOKUP($E39,'BDEW-Standard'!$B$3:$M$94,N$9,0),7)</f>
        <v>0.99959010000000004</v>
      </c>
      <c r="O39" s="274">
        <f>ROUND(VLOOKUP($E39,'BDEW-Standard'!$B$3:$M$94,O$9,0),7)</f>
        <v>-2.1757999999999999E-3</v>
      </c>
      <c r="P39" s="274">
        <f>ROUND(VLOOKUP($E39,'BDEW-Standard'!$B$3:$M$94,P$9,0),7)</f>
        <v>0.1633299</v>
      </c>
      <c r="Q39" s="335">
        <f t="shared" si="1"/>
        <v>1.0000001838008261</v>
      </c>
      <c r="R39" s="275">
        <f>ROUND(VLOOKUP(MID($E39,4,3),'Wochentag F(WT)'!$B$7:$J$22,R$9,0),4)</f>
        <v>1</v>
      </c>
      <c r="S39" s="275">
        <f>ROUND(VLOOKUP(MID($E39,4,3),'Wochentag F(WT)'!$B$7:$J$22,S$9,0),4)</f>
        <v>1</v>
      </c>
      <c r="T39" s="275">
        <f>ROUND(VLOOKUP(MID($E39,4,3),'Wochentag F(WT)'!$B$7:$J$22,T$9,0),4)</f>
        <v>1</v>
      </c>
      <c r="U39" s="275">
        <f>ROUND(VLOOKUP(MID($E39,4,3),'Wochentag F(WT)'!$B$7:$J$22,U$9,0),4)</f>
        <v>1</v>
      </c>
      <c r="V39" s="275">
        <f>ROUND(VLOOKUP(MID($E39,4,3),'Wochentag F(WT)'!$B$7:$J$22,V$9,0),4)</f>
        <v>1</v>
      </c>
      <c r="W39" s="275">
        <f>ROUND(VLOOKUP(MID($E39,4,3),'Wochentag F(WT)'!$B$7:$J$22,W$9,0),4)</f>
        <v>1</v>
      </c>
      <c r="X39" s="276">
        <f t="shared" si="3"/>
        <v>1</v>
      </c>
      <c r="Y39" s="290"/>
    </row>
    <row r="40" spans="2:25" s="143" customFormat="1">
      <c r="B40" s="144">
        <v>29</v>
      </c>
      <c r="C40" s="145" t="str">
        <f t="shared" si="0"/>
        <v>Niederrhein</v>
      </c>
      <c r="D40" s="62" t="s">
        <v>247</v>
      </c>
      <c r="E40" s="166" t="s">
        <v>519</v>
      </c>
      <c r="F40" s="294" t="str">
        <f>VLOOKUP($E40,'BDEW-Standard'!$B$3:$M$94,F$9,0)</f>
        <v>OK4</v>
      </c>
      <c r="H40" s="274">
        <f>ROUND(VLOOKUP($E40,'BDEW-Standard'!$B$3:$M$94,H$9,0),7)</f>
        <v>1.4256683999999999</v>
      </c>
      <c r="I40" s="274">
        <f>ROUND(VLOOKUP($E40,'BDEW-Standard'!$B$3:$M$94,I$9,0),7)</f>
        <v>-36.659050399999998</v>
      </c>
      <c r="J40" s="274">
        <f>ROUND(VLOOKUP($E40,'BDEW-Standard'!$B$3:$M$94,J$9,0),7)</f>
        <v>7.6083226000000002</v>
      </c>
      <c r="K40" s="274">
        <f>ROUND(VLOOKUP($E40,'BDEW-Standard'!$B$3:$M$94,K$9,0),7)</f>
        <v>3.7111600000000002E-2</v>
      </c>
      <c r="L40" s="334">
        <f>ROUND(VLOOKUP($E40,'BDEW-Standard'!$B$3:$M$94,L$9,0),1)</f>
        <v>40</v>
      </c>
      <c r="M40" s="274">
        <f>ROUND(VLOOKUP($E40,'BDEW-Standard'!$B$3:$M$94,M$9,0),7)</f>
        <v>-8.0935900000000005E-2</v>
      </c>
      <c r="N40" s="274">
        <f>ROUND(VLOOKUP($E40,'BDEW-Standard'!$B$3:$M$94,N$9,0),7)</f>
        <v>1.2364527000000001</v>
      </c>
      <c r="O40" s="274">
        <f>ROUND(VLOOKUP($E40,'BDEW-Standard'!$B$3:$M$94,O$9,0),7)</f>
        <v>-7.628E-4</v>
      </c>
      <c r="P40" s="274">
        <f>ROUND(VLOOKUP($E40,'BDEW-Standard'!$B$3:$M$94,P$9,0),7)</f>
        <v>0.1002979</v>
      </c>
      <c r="Q40" s="335">
        <f t="shared" si="1"/>
        <v>0.99999996033498917</v>
      </c>
      <c r="R40" s="275">
        <f>ROUND(VLOOKUP(MID($E40,4,3),'Wochentag F(WT)'!$B$7:$J$22,R$9,0),4)</f>
        <v>1.0354000000000001</v>
      </c>
      <c r="S40" s="275">
        <f>ROUND(VLOOKUP(MID($E40,4,3),'Wochentag F(WT)'!$B$7:$J$22,S$9,0),4)</f>
        <v>1.0523</v>
      </c>
      <c r="T40" s="275">
        <f>ROUND(VLOOKUP(MID($E40,4,3),'Wochentag F(WT)'!$B$7:$J$22,T$9,0),4)</f>
        <v>1.0448999999999999</v>
      </c>
      <c r="U40" s="275">
        <f>ROUND(VLOOKUP(MID($E40,4,3),'Wochentag F(WT)'!$B$7:$J$22,U$9,0),4)</f>
        <v>1.0494000000000001</v>
      </c>
      <c r="V40" s="275">
        <f>ROUND(VLOOKUP(MID($E40,4,3),'Wochentag F(WT)'!$B$7:$J$22,V$9,0),4)</f>
        <v>0.98850000000000005</v>
      </c>
      <c r="W40" s="275">
        <f>ROUND(VLOOKUP(MID($E40,4,3),'Wochentag F(WT)'!$B$7:$J$22,W$9,0),4)</f>
        <v>0.88600000000000001</v>
      </c>
      <c r="X40" s="276">
        <f t="shared" si="3"/>
        <v>0.94349999999999934</v>
      </c>
      <c r="Y40" s="290"/>
    </row>
    <row r="41" spans="2:25" s="143" customFormat="1">
      <c r="B41" s="144">
        <v>30</v>
      </c>
      <c r="C41" s="145" t="str">
        <f t="shared" si="0"/>
        <v>Niederrhein</v>
      </c>
      <c r="D41" s="62" t="s">
        <v>247</v>
      </c>
      <c r="E41" s="166" t="s">
        <v>680</v>
      </c>
      <c r="F41" s="294" t="str">
        <f>VLOOKUP($E41,'BDEW-Standard'!$B$3:$M$94,F$9,0)</f>
        <v>AH4</v>
      </c>
      <c r="H41" s="274">
        <f>ROUND(VLOOKUP($E41,'BDEW-Standard'!$B$3:$M$94,H$9,0),7)</f>
        <v>1.8398455</v>
      </c>
      <c r="I41" s="274">
        <f>ROUND(VLOOKUP($E41,'BDEW-Standard'!$B$3:$M$94,I$9,0),7)</f>
        <v>-37.828203700000003</v>
      </c>
      <c r="J41" s="274">
        <f>ROUND(VLOOKUP($E41,'BDEW-Standard'!$B$3:$M$94,J$9,0),7)</f>
        <v>8.1593368999999996</v>
      </c>
      <c r="K41" s="274">
        <f>ROUND(VLOOKUP($E41,'BDEW-Standard'!$B$3:$M$94,K$9,0),7)</f>
        <v>2.5971000000000001E-2</v>
      </c>
      <c r="L41" s="334">
        <f>ROUND(VLOOKUP($E41,'BDEW-Standard'!$B$3:$M$94,L$9,0),1)</f>
        <v>40</v>
      </c>
      <c r="M41" s="274">
        <f>ROUND(VLOOKUP($E41,'BDEW-Standard'!$B$3:$M$94,M$9,0),7)</f>
        <v>-0.1069262</v>
      </c>
      <c r="N41" s="274">
        <f>ROUND(VLOOKUP($E41,'BDEW-Standard'!$B$3:$M$94,N$9,0),7)</f>
        <v>1.4552240000000001</v>
      </c>
      <c r="O41" s="274">
        <f>ROUND(VLOOKUP($E41,'BDEW-Standard'!$B$3:$M$94,O$9,0),7)</f>
        <v>-4.9200000000000003E-4</v>
      </c>
      <c r="P41" s="274">
        <f>ROUND(VLOOKUP($E41,'BDEW-Standard'!$B$3:$M$94,P$9,0),7)</f>
        <v>6.9185099999999999E-2</v>
      </c>
      <c r="Q41" s="335">
        <f t="shared" si="1"/>
        <v>0.99999974325043151</v>
      </c>
      <c r="R41" s="275">
        <f>ROUND(VLOOKUP(MID($E41,4,3),'Wochentag F(WT)'!$B$7:$J$22,R$9,0),4)</f>
        <v>1.0358000000000001</v>
      </c>
      <c r="S41" s="275">
        <f>ROUND(VLOOKUP(MID($E41,4,3),'Wochentag F(WT)'!$B$7:$J$22,S$9,0),4)</f>
        <v>1.0232000000000001</v>
      </c>
      <c r="T41" s="275">
        <f>ROUND(VLOOKUP(MID($E41,4,3),'Wochentag F(WT)'!$B$7:$J$22,T$9,0),4)</f>
        <v>1.0251999999999999</v>
      </c>
      <c r="U41" s="275">
        <f>ROUND(VLOOKUP(MID($E41,4,3),'Wochentag F(WT)'!$B$7:$J$22,U$9,0),4)</f>
        <v>1.0295000000000001</v>
      </c>
      <c r="V41" s="275">
        <f>ROUND(VLOOKUP(MID($E41,4,3),'Wochentag F(WT)'!$B$7:$J$22,V$9,0),4)</f>
        <v>1.0253000000000001</v>
      </c>
      <c r="W41" s="275">
        <f>ROUND(VLOOKUP(MID($E41,4,3),'Wochentag F(WT)'!$B$7:$J$22,W$9,0),4)</f>
        <v>0.96750000000000003</v>
      </c>
      <c r="X41" s="276">
        <f t="shared" si="3"/>
        <v>0.89350000000000041</v>
      </c>
      <c r="Y41" s="290"/>
    </row>
    <row r="42" spans="2:25">
      <c r="B42" s="144">
        <v>31</v>
      </c>
      <c r="C42" s="145" t="str">
        <f t="shared" si="0"/>
        <v>Niederrhein</v>
      </c>
      <c r="D42" s="62" t="s">
        <v>247</v>
      </c>
      <c r="E42" s="166" t="s">
        <v>681</v>
      </c>
      <c r="F42" s="294" t="str">
        <f>VLOOKUP($E42,'BDEW-Standard'!$B$3:$M$94,F$9,0)</f>
        <v>KM4</v>
      </c>
      <c r="G42" s="143"/>
      <c r="H42" s="274">
        <f>ROUND(VLOOKUP($E42,'BDEW-Standard'!$B$3:$M$94,H$9,0),7)</f>
        <v>1.3284913</v>
      </c>
      <c r="I42" s="274">
        <f>ROUND(VLOOKUP($E42,'BDEW-Standard'!$B$3:$M$94,I$9,0),7)</f>
        <v>-35.871506199999999</v>
      </c>
      <c r="J42" s="274">
        <f>ROUND(VLOOKUP($E42,'BDEW-Standard'!$B$3:$M$94,J$9,0),7)</f>
        <v>7.5186828999999999</v>
      </c>
      <c r="K42" s="274">
        <f>ROUND(VLOOKUP($E42,'BDEW-Standard'!$B$3:$M$94,K$9,0),7)</f>
        <v>1.7554E-2</v>
      </c>
      <c r="L42" s="334">
        <f>ROUND(VLOOKUP($E42,'BDEW-Standard'!$B$3:$M$94,L$9,0),1)</f>
        <v>40</v>
      </c>
      <c r="M42" s="274">
        <f>ROUND(VLOOKUP($E42,'BDEW-Standard'!$B$3:$M$94,M$9,0),7)</f>
        <v>-7.5898300000000002E-2</v>
      </c>
      <c r="N42" s="274">
        <f>ROUND(VLOOKUP($E42,'BDEW-Standard'!$B$3:$M$94,N$9,0),7)</f>
        <v>1.1942554999999999</v>
      </c>
      <c r="O42" s="274">
        <f>ROUND(VLOOKUP($E42,'BDEW-Standard'!$B$3:$M$94,O$9,0),7)</f>
        <v>-8.9800000000000004E-4</v>
      </c>
      <c r="P42" s="274">
        <f>ROUND(VLOOKUP($E42,'BDEW-Standard'!$B$3:$M$94,P$9,0),7)</f>
        <v>6.0333699999999997E-2</v>
      </c>
      <c r="Q42" s="335">
        <f t="shared" si="1"/>
        <v>0.99999979406904638</v>
      </c>
      <c r="R42" s="275">
        <f>ROUND(VLOOKUP(MID($E42,4,3),'Wochentag F(WT)'!$B$7:$J$22,R$9,0),4)</f>
        <v>1.0699000000000001</v>
      </c>
      <c r="S42" s="275">
        <f>ROUND(VLOOKUP(MID($E42,4,3),'Wochentag F(WT)'!$B$7:$J$22,S$9,0),4)</f>
        <v>1.0365</v>
      </c>
      <c r="T42" s="275">
        <f>ROUND(VLOOKUP(MID($E42,4,3),'Wochentag F(WT)'!$B$7:$J$22,T$9,0),4)</f>
        <v>0.99329999999999996</v>
      </c>
      <c r="U42" s="275">
        <f>ROUND(VLOOKUP(MID($E42,4,3),'Wochentag F(WT)'!$B$7:$J$22,U$9,0),4)</f>
        <v>0.99480000000000002</v>
      </c>
      <c r="V42" s="275">
        <f>ROUND(VLOOKUP(MID($E42,4,3),'Wochentag F(WT)'!$B$7:$J$22,V$9,0),4)</f>
        <v>1.0659000000000001</v>
      </c>
      <c r="W42" s="275">
        <f>ROUND(VLOOKUP(MID($E42,4,3),'Wochentag F(WT)'!$B$7:$J$22,W$9,0),4)</f>
        <v>0.93620000000000003</v>
      </c>
      <c r="X42" s="276">
        <f t="shared" ref="X42:X51" si="4">7-SUM(R42:W42)</f>
        <v>0.90339999999999954</v>
      </c>
      <c r="Y42" s="290"/>
    </row>
    <row r="43" spans="2:25">
      <c r="B43" s="144">
        <v>32</v>
      </c>
      <c r="C43" s="145" t="str">
        <f t="shared" si="0"/>
        <v>Niederrhein</v>
      </c>
      <c r="D43" s="62" t="s">
        <v>247</v>
      </c>
      <c r="E43" s="166" t="s">
        <v>682</v>
      </c>
      <c r="F43" s="294" t="str">
        <f>VLOOKUP($E43,'BDEW-Standard'!$B$3:$M$94,F$9,0)</f>
        <v>DB4</v>
      </c>
      <c r="G43" s="143"/>
      <c r="H43" s="274">
        <f>ROUND(VLOOKUP($E43,'BDEW-Standard'!$B$3:$M$94,H$9,0),7)</f>
        <v>1.5175791999999999</v>
      </c>
      <c r="I43" s="274">
        <f>ROUND(VLOOKUP($E43,'BDEW-Standard'!$B$3:$M$94,I$9,0),7)</f>
        <v>-37.5</v>
      </c>
      <c r="J43" s="274">
        <f>ROUND(VLOOKUP($E43,'BDEW-Standard'!$B$3:$M$94,J$9,0),7)</f>
        <v>6.8</v>
      </c>
      <c r="K43" s="274">
        <f>ROUND(VLOOKUP($E43,'BDEW-Standard'!$B$3:$M$94,K$9,0),7)</f>
        <v>2.9580100000000002E-2</v>
      </c>
      <c r="L43" s="334">
        <f>ROUND(VLOOKUP($E43,'BDEW-Standard'!$B$3:$M$94,L$9,0),1)</f>
        <v>40</v>
      </c>
      <c r="M43" s="274">
        <f>ROUND(VLOOKUP($E43,'BDEW-Standard'!$B$3:$M$94,M$9,0),7)</f>
        <v>-7.8855900000000007E-2</v>
      </c>
      <c r="N43" s="274">
        <f>ROUND(VLOOKUP($E43,'BDEW-Standard'!$B$3:$M$94,N$9,0),7)</f>
        <v>1.2161249999999999</v>
      </c>
      <c r="O43" s="274">
        <f>ROUND(VLOOKUP($E43,'BDEW-Standard'!$B$3:$M$94,O$9,0),7)</f>
        <v>-1.3133999999999999E-3</v>
      </c>
      <c r="P43" s="274">
        <f>ROUND(VLOOKUP($E43,'BDEW-Standard'!$B$3:$M$94,P$9,0),7)</f>
        <v>9.6872100000000003E-2</v>
      </c>
      <c r="Q43" s="335">
        <f t="shared" si="1"/>
        <v>1.0000002163173649</v>
      </c>
      <c r="R43" s="275">
        <f>ROUND(VLOOKUP(MID($E43,4,3),'Wochentag F(WT)'!$B$7:$J$22,R$9,0),4)</f>
        <v>1.1052</v>
      </c>
      <c r="S43" s="275">
        <f>ROUND(VLOOKUP(MID($E43,4,3),'Wochentag F(WT)'!$B$7:$J$22,S$9,0),4)</f>
        <v>1.0857000000000001</v>
      </c>
      <c r="T43" s="275">
        <f>ROUND(VLOOKUP(MID($E43,4,3),'Wochentag F(WT)'!$B$7:$J$22,T$9,0),4)</f>
        <v>1.0378000000000001</v>
      </c>
      <c r="U43" s="275">
        <f>ROUND(VLOOKUP(MID($E43,4,3),'Wochentag F(WT)'!$B$7:$J$22,U$9,0),4)</f>
        <v>1.0622</v>
      </c>
      <c r="V43" s="275">
        <f>ROUND(VLOOKUP(MID($E43,4,3),'Wochentag F(WT)'!$B$7:$J$22,V$9,0),4)</f>
        <v>1.0266</v>
      </c>
      <c r="W43" s="275">
        <f>ROUND(VLOOKUP(MID($E43,4,3),'Wochentag F(WT)'!$B$7:$J$22,W$9,0),4)</f>
        <v>0.76290000000000002</v>
      </c>
      <c r="X43" s="276">
        <f t="shared" si="4"/>
        <v>0.91959999999999997</v>
      </c>
      <c r="Y43" s="290"/>
    </row>
    <row r="44" spans="2:25">
      <c r="B44" s="144">
        <v>33</v>
      </c>
      <c r="C44" s="145" t="str">
        <f t="shared" si="0"/>
        <v>Niederrhein</v>
      </c>
      <c r="D44" s="62" t="s">
        <v>247</v>
      </c>
      <c r="E44" s="166" t="s">
        <v>683</v>
      </c>
      <c r="F44" s="294" t="str">
        <f>VLOOKUP($E44,'BDEW-Standard'!$B$3:$M$94,F$9,0)</f>
        <v>HB4</v>
      </c>
      <c r="G44" s="143"/>
      <c r="H44" s="274">
        <f>ROUND(VLOOKUP($E44,'BDEW-Standard'!$B$3:$M$94,H$9,0),7)</f>
        <v>0.98725850000000004</v>
      </c>
      <c r="I44" s="274">
        <f>ROUND(VLOOKUP($E44,'BDEW-Standard'!$B$3:$M$94,I$9,0),7)</f>
        <v>-35.253212400000002</v>
      </c>
      <c r="J44" s="274">
        <f>ROUND(VLOOKUP($E44,'BDEW-Standard'!$B$3:$M$94,J$9,0),7)</f>
        <v>6.0587001000000003</v>
      </c>
      <c r="K44" s="274">
        <f>ROUND(VLOOKUP($E44,'BDEW-Standard'!$B$3:$M$94,K$9,0),7)</f>
        <v>7.9351199999999997E-2</v>
      </c>
      <c r="L44" s="334">
        <f>ROUND(VLOOKUP($E44,'BDEW-Standard'!$B$3:$M$94,L$9,0),1)</f>
        <v>40</v>
      </c>
      <c r="M44" s="274">
        <f>ROUND(VLOOKUP($E44,'BDEW-Standard'!$B$3:$M$94,M$9,0),7)</f>
        <v>-4.9501299999999998E-2</v>
      </c>
      <c r="N44" s="274">
        <f>ROUND(VLOOKUP($E44,'BDEW-Standard'!$B$3:$M$94,N$9,0),7)</f>
        <v>0.96379990000000004</v>
      </c>
      <c r="O44" s="274">
        <f>ROUND(VLOOKUP($E44,'BDEW-Standard'!$B$3:$M$94,O$9,0),7)</f>
        <v>-2.2304E-3</v>
      </c>
      <c r="P44" s="274">
        <f>ROUND(VLOOKUP($E44,'BDEW-Standard'!$B$3:$M$94,P$9,0),7)</f>
        <v>0.22883980000000001</v>
      </c>
      <c r="Q44" s="335">
        <f t="shared" si="1"/>
        <v>1.000000249892145</v>
      </c>
      <c r="R44" s="275">
        <f>ROUND(VLOOKUP(MID($E44,4,3),'Wochentag F(WT)'!$B$7:$J$22,R$9,0),4)</f>
        <v>0.97670000000000001</v>
      </c>
      <c r="S44" s="275">
        <f>ROUND(VLOOKUP(MID($E44,4,3),'Wochentag F(WT)'!$B$7:$J$22,S$9,0),4)</f>
        <v>1.0388999999999999</v>
      </c>
      <c r="T44" s="275">
        <f>ROUND(VLOOKUP(MID($E44,4,3),'Wochentag F(WT)'!$B$7:$J$22,T$9,0),4)</f>
        <v>1.0027999999999999</v>
      </c>
      <c r="U44" s="275">
        <f>ROUND(VLOOKUP(MID($E44,4,3),'Wochentag F(WT)'!$B$7:$J$22,U$9,0),4)</f>
        <v>1.0162</v>
      </c>
      <c r="V44" s="275">
        <f>ROUND(VLOOKUP(MID($E44,4,3),'Wochentag F(WT)'!$B$7:$J$22,V$9,0),4)</f>
        <v>1.0024</v>
      </c>
      <c r="W44" s="275">
        <f>ROUND(VLOOKUP(MID($E44,4,3),'Wochentag F(WT)'!$B$7:$J$22,W$9,0),4)</f>
        <v>1.0043</v>
      </c>
      <c r="X44" s="276">
        <f t="shared" si="4"/>
        <v>0.95870000000000122</v>
      </c>
      <c r="Y44" s="290"/>
    </row>
    <row r="45" spans="2:25">
      <c r="B45" s="144">
        <v>34</v>
      </c>
      <c r="C45" s="145" t="str">
        <f t="shared" si="0"/>
        <v>Niederrhein</v>
      </c>
      <c r="D45" s="62" t="s">
        <v>247</v>
      </c>
      <c r="E45" s="166" t="s">
        <v>684</v>
      </c>
      <c r="F45" s="294" t="str">
        <f>VLOOKUP($E45,'BDEW-Standard'!$B$3:$M$94,F$9,0)</f>
        <v>AW4</v>
      </c>
      <c r="G45" s="143"/>
      <c r="H45" s="274">
        <f>ROUND(VLOOKUP($E45,'BDEW-Standard'!$B$3:$M$94,H$9,0),7)</f>
        <v>0.39253389999999999</v>
      </c>
      <c r="I45" s="274">
        <f>ROUND(VLOOKUP($E45,'BDEW-Standard'!$B$3:$M$94,I$9,0),7)</f>
        <v>-35.299999999999997</v>
      </c>
      <c r="J45" s="274">
        <f>ROUND(VLOOKUP($E45,'BDEW-Standard'!$B$3:$M$94,J$9,0),7)</f>
        <v>4.8662747</v>
      </c>
      <c r="K45" s="274">
        <f>ROUND(VLOOKUP($E45,'BDEW-Standard'!$B$3:$M$94,K$9,0),7)</f>
        <v>0.3045099</v>
      </c>
      <c r="L45" s="334">
        <f>ROUND(VLOOKUP($E45,'BDEW-Standard'!$B$3:$M$94,L$9,0),1)</f>
        <v>40</v>
      </c>
      <c r="M45" s="274">
        <f>ROUND(VLOOKUP($E45,'BDEW-Standard'!$B$3:$M$94,M$9,0),7)</f>
        <v>-1.67993E-2</v>
      </c>
      <c r="N45" s="274">
        <f>ROUND(VLOOKUP($E45,'BDEW-Standard'!$B$3:$M$94,N$9,0),7)</f>
        <v>0.67108889999999999</v>
      </c>
      <c r="O45" s="274">
        <f>ROUND(VLOOKUP($E45,'BDEW-Standard'!$B$3:$M$94,O$9,0),7)</f>
        <v>-2.0301E-3</v>
      </c>
      <c r="P45" s="274">
        <f>ROUND(VLOOKUP($E45,'BDEW-Standard'!$B$3:$M$94,P$9,0),7)</f>
        <v>0.56146229999999997</v>
      </c>
      <c r="Q45" s="335">
        <f t="shared" si="1"/>
        <v>0.99999985965518789</v>
      </c>
      <c r="R45" s="275">
        <f>ROUND(VLOOKUP(MID($E45,4,3),'Wochentag F(WT)'!$B$7:$J$22,R$9,0),4)</f>
        <v>1.2457</v>
      </c>
      <c r="S45" s="275">
        <f>ROUND(VLOOKUP(MID($E45,4,3),'Wochentag F(WT)'!$B$7:$J$22,S$9,0),4)</f>
        <v>1.2615000000000001</v>
      </c>
      <c r="T45" s="275">
        <f>ROUND(VLOOKUP(MID($E45,4,3),'Wochentag F(WT)'!$B$7:$J$22,T$9,0),4)</f>
        <v>1.2706999999999999</v>
      </c>
      <c r="U45" s="275">
        <f>ROUND(VLOOKUP(MID($E45,4,3),'Wochentag F(WT)'!$B$7:$J$22,U$9,0),4)</f>
        <v>1.2430000000000001</v>
      </c>
      <c r="V45" s="275">
        <f>ROUND(VLOOKUP(MID($E45,4,3),'Wochentag F(WT)'!$B$7:$J$22,V$9,0),4)</f>
        <v>1.1275999999999999</v>
      </c>
      <c r="W45" s="275">
        <f>ROUND(VLOOKUP(MID($E45,4,3),'Wochentag F(WT)'!$B$7:$J$22,W$9,0),4)</f>
        <v>0.38769999999999999</v>
      </c>
      <c r="X45" s="276">
        <f t="shared" si="4"/>
        <v>0.46379999999999999</v>
      </c>
      <c r="Y45" s="290"/>
    </row>
    <row r="46" spans="2:25">
      <c r="B46" s="144">
        <v>35</v>
      </c>
      <c r="C46" s="145" t="str">
        <f t="shared" si="0"/>
        <v>Niederrhein</v>
      </c>
      <c r="D46" s="62" t="s">
        <v>247</v>
      </c>
      <c r="E46" s="166" t="s">
        <v>685</v>
      </c>
      <c r="F46" s="294" t="str">
        <f>VLOOKUP($E46,'BDEW-Standard'!$B$3:$M$94,F$9,0)</f>
        <v>AG4</v>
      </c>
      <c r="G46" s="143"/>
      <c r="H46" s="274">
        <f>ROUND(VLOOKUP($E46,'BDEW-Standard'!$B$3:$M$94,H$9,0),7)</f>
        <v>1.1848320000000001</v>
      </c>
      <c r="I46" s="274">
        <f>ROUND(VLOOKUP($E46,'BDEW-Standard'!$B$3:$M$94,I$9,0),7)</f>
        <v>-36</v>
      </c>
      <c r="J46" s="274">
        <f>ROUND(VLOOKUP($E46,'BDEW-Standard'!$B$3:$M$94,J$9,0),7)</f>
        <v>7.7368518000000002</v>
      </c>
      <c r="K46" s="274">
        <f>ROUND(VLOOKUP($E46,'BDEW-Standard'!$B$3:$M$94,K$9,0),7)</f>
        <v>7.9310699999999998E-2</v>
      </c>
      <c r="L46" s="334">
        <f>ROUND(VLOOKUP($E46,'BDEW-Standard'!$B$3:$M$94,L$9,0),1)</f>
        <v>40</v>
      </c>
      <c r="M46" s="274">
        <f>ROUND(VLOOKUP($E46,'BDEW-Standard'!$B$3:$M$94,M$9,0),7)</f>
        <v>-6.8738300000000002E-2</v>
      </c>
      <c r="N46" s="274">
        <f>ROUND(VLOOKUP($E46,'BDEW-Standard'!$B$3:$M$94,N$9,0),7)</f>
        <v>1.130857</v>
      </c>
      <c r="O46" s="274">
        <f>ROUND(VLOOKUP($E46,'BDEW-Standard'!$B$3:$M$94,O$9,0),7)</f>
        <v>-6.5870000000000002E-4</v>
      </c>
      <c r="P46" s="274">
        <f>ROUND(VLOOKUP($E46,'BDEW-Standard'!$B$3:$M$94,P$9,0),7)</f>
        <v>0.19103010000000001</v>
      </c>
      <c r="Q46" s="335">
        <f t="shared" si="1"/>
        <v>1.0000000851295017</v>
      </c>
      <c r="R46" s="275">
        <f>ROUND(VLOOKUP(MID($E46,4,3),'Wochentag F(WT)'!$B$7:$J$22,R$9,0),4)</f>
        <v>0.93220000000000003</v>
      </c>
      <c r="S46" s="275">
        <f>ROUND(VLOOKUP(MID($E46,4,3),'Wochentag F(WT)'!$B$7:$J$22,S$9,0),4)</f>
        <v>0.98939999999999995</v>
      </c>
      <c r="T46" s="275">
        <f>ROUND(VLOOKUP(MID($E46,4,3),'Wochentag F(WT)'!$B$7:$J$22,T$9,0),4)</f>
        <v>1.0033000000000001</v>
      </c>
      <c r="U46" s="275">
        <f>ROUND(VLOOKUP(MID($E46,4,3),'Wochentag F(WT)'!$B$7:$J$22,U$9,0),4)</f>
        <v>1.0108999999999999</v>
      </c>
      <c r="V46" s="275">
        <f>ROUND(VLOOKUP(MID($E46,4,3),'Wochentag F(WT)'!$B$7:$J$22,V$9,0),4)</f>
        <v>1.018</v>
      </c>
      <c r="W46" s="275">
        <f>ROUND(VLOOKUP(MID($E46,4,3),'Wochentag F(WT)'!$B$7:$J$22,W$9,0),4)</f>
        <v>1.0356000000000001</v>
      </c>
      <c r="X46" s="276">
        <f t="shared" si="4"/>
        <v>1.0106000000000002</v>
      </c>
      <c r="Y46" s="290"/>
    </row>
    <row r="47" spans="2:25">
      <c r="B47" s="144">
        <v>36</v>
      </c>
      <c r="C47" s="145" t="str">
        <f t="shared" si="0"/>
        <v>Niederrhein</v>
      </c>
      <c r="D47" s="62" t="s">
        <v>247</v>
      </c>
      <c r="E47" s="166" t="s">
        <v>686</v>
      </c>
      <c r="F47" s="294" t="str">
        <f>VLOOKUP($E47,'BDEW-Standard'!$B$3:$M$94,F$9,0)</f>
        <v>AB4</v>
      </c>
      <c r="G47" s="143"/>
      <c r="H47" s="274">
        <f>ROUND(VLOOKUP($E47,'BDEW-Standard'!$B$3:$M$94,H$9,0),7)</f>
        <v>0.35376400000000002</v>
      </c>
      <c r="I47" s="274">
        <f>ROUND(VLOOKUP($E47,'BDEW-Standard'!$B$3:$M$94,I$9,0),7)</f>
        <v>-33.35</v>
      </c>
      <c r="J47" s="274">
        <f>ROUND(VLOOKUP($E47,'BDEW-Standard'!$B$3:$M$94,J$9,0),7)</f>
        <v>5.7212303000000002</v>
      </c>
      <c r="K47" s="274">
        <f>ROUND(VLOOKUP($E47,'BDEW-Standard'!$B$3:$M$94,K$9,0),7)</f>
        <v>0.3033305</v>
      </c>
      <c r="L47" s="334">
        <f>ROUND(VLOOKUP($E47,'BDEW-Standard'!$B$3:$M$94,L$9,0),1)</f>
        <v>40</v>
      </c>
      <c r="M47" s="274">
        <f>ROUND(VLOOKUP($E47,'BDEW-Standard'!$B$3:$M$94,M$9,0),7)</f>
        <v>-1.77463E-2</v>
      </c>
      <c r="N47" s="274">
        <f>ROUND(VLOOKUP($E47,'BDEW-Standard'!$B$3:$M$94,N$9,0),7)</f>
        <v>0.68256989999999995</v>
      </c>
      <c r="O47" s="274">
        <f>ROUND(VLOOKUP($E47,'BDEW-Standard'!$B$3:$M$94,O$9,0),7)</f>
        <v>-1.3912E-3</v>
      </c>
      <c r="P47" s="274">
        <f>ROUND(VLOOKUP($E47,'BDEW-Standard'!$B$3:$M$94,P$9,0),7)</f>
        <v>0.54346240000000001</v>
      </c>
      <c r="Q47" s="335">
        <f t="shared" si="1"/>
        <v>1.0000003335127634</v>
      </c>
      <c r="R47" s="275">
        <f>ROUND(VLOOKUP(MID($E47,4,3),'Wochentag F(WT)'!$B$7:$J$22,R$9,0),4)</f>
        <v>1.0848</v>
      </c>
      <c r="S47" s="275">
        <f>ROUND(VLOOKUP(MID($E47,4,3),'Wochentag F(WT)'!$B$7:$J$22,S$9,0),4)</f>
        <v>1.1211</v>
      </c>
      <c r="T47" s="275">
        <f>ROUND(VLOOKUP(MID($E47,4,3),'Wochentag F(WT)'!$B$7:$J$22,T$9,0),4)</f>
        <v>1.0769</v>
      </c>
      <c r="U47" s="275">
        <f>ROUND(VLOOKUP(MID($E47,4,3),'Wochentag F(WT)'!$B$7:$J$22,U$9,0),4)</f>
        <v>1.1353</v>
      </c>
      <c r="V47" s="275">
        <f>ROUND(VLOOKUP(MID($E47,4,3),'Wochentag F(WT)'!$B$7:$J$22,V$9,0),4)</f>
        <v>1.1402000000000001</v>
      </c>
      <c r="W47" s="275">
        <f>ROUND(VLOOKUP(MID($E47,4,3),'Wochentag F(WT)'!$B$7:$J$22,W$9,0),4)</f>
        <v>0.48520000000000002</v>
      </c>
      <c r="X47" s="276">
        <f t="shared" si="4"/>
        <v>0.95650000000000013</v>
      </c>
      <c r="Y47" s="290"/>
    </row>
    <row r="48" spans="2:25">
      <c r="B48" s="144">
        <v>37</v>
      </c>
      <c r="C48" s="145" t="str">
        <f t="shared" si="0"/>
        <v>Niederrhein</v>
      </c>
      <c r="D48" s="62" t="s">
        <v>247</v>
      </c>
      <c r="E48" s="166" t="s">
        <v>687</v>
      </c>
      <c r="F48" s="294" t="str">
        <f>VLOOKUP($E48,'BDEW-Standard'!$B$3:$M$94,F$9,0)</f>
        <v>BG4</v>
      </c>
      <c r="G48" s="143"/>
      <c r="H48" s="274">
        <f>ROUND(VLOOKUP($E48,'BDEW-Standard'!$B$3:$M$94,H$9,0),7)</f>
        <v>1.6266811999999999</v>
      </c>
      <c r="I48" s="274">
        <f>ROUND(VLOOKUP($E48,'BDEW-Standard'!$B$3:$M$94,I$9,0),7)</f>
        <v>-37.882536799999997</v>
      </c>
      <c r="J48" s="274">
        <f>ROUND(VLOOKUP($E48,'BDEW-Standard'!$B$3:$M$94,J$9,0),7)</f>
        <v>6.9836070000000001</v>
      </c>
      <c r="K48" s="274">
        <f>ROUND(VLOOKUP($E48,'BDEW-Standard'!$B$3:$M$94,K$9,0),7)</f>
        <v>2.97136E-2</v>
      </c>
      <c r="L48" s="334">
        <f>ROUND(VLOOKUP($E48,'BDEW-Standard'!$B$3:$M$94,L$9,0),1)</f>
        <v>40</v>
      </c>
      <c r="M48" s="274">
        <f>ROUND(VLOOKUP($E48,'BDEW-Standard'!$B$3:$M$94,M$9,0),7)</f>
        <v>-8.5433300000000004E-2</v>
      </c>
      <c r="N48" s="274">
        <f>ROUND(VLOOKUP($E48,'BDEW-Standard'!$B$3:$M$94,N$9,0),7)</f>
        <v>1.2709629</v>
      </c>
      <c r="O48" s="274">
        <f>ROUND(VLOOKUP($E48,'BDEW-Standard'!$B$3:$M$94,O$9,0),7)</f>
        <v>-1.1318999999999999E-3</v>
      </c>
      <c r="P48" s="274">
        <f>ROUND(VLOOKUP($E48,'BDEW-Standard'!$B$3:$M$94,P$9,0),7)</f>
        <v>9.2812400000000003E-2</v>
      </c>
      <c r="Q48" s="335">
        <f t="shared" si="1"/>
        <v>0.99999990532820671</v>
      </c>
      <c r="R48" s="275">
        <f>ROUND(VLOOKUP(MID($E48,4,3),'Wochentag F(WT)'!$B$7:$J$22,R$9,0),4)</f>
        <v>0.98970000000000002</v>
      </c>
      <c r="S48" s="275">
        <f>ROUND(VLOOKUP(MID($E48,4,3),'Wochentag F(WT)'!$B$7:$J$22,S$9,0),4)</f>
        <v>0.9627</v>
      </c>
      <c r="T48" s="275">
        <f>ROUND(VLOOKUP(MID($E48,4,3),'Wochentag F(WT)'!$B$7:$J$22,T$9,0),4)</f>
        <v>1.0507</v>
      </c>
      <c r="U48" s="275">
        <f>ROUND(VLOOKUP(MID($E48,4,3),'Wochentag F(WT)'!$B$7:$J$22,U$9,0),4)</f>
        <v>1.0551999999999999</v>
      </c>
      <c r="V48" s="275">
        <f>ROUND(VLOOKUP(MID($E48,4,3),'Wochentag F(WT)'!$B$7:$J$22,V$9,0),4)</f>
        <v>1.0297000000000001</v>
      </c>
      <c r="W48" s="275">
        <f>ROUND(VLOOKUP(MID($E48,4,3),'Wochentag F(WT)'!$B$7:$J$22,W$9,0),4)</f>
        <v>0.97670000000000001</v>
      </c>
      <c r="X48" s="276">
        <f t="shared" si="4"/>
        <v>0.9352999999999998</v>
      </c>
      <c r="Y48" s="290"/>
    </row>
    <row r="49" spans="2:25">
      <c r="B49" s="144">
        <v>38</v>
      </c>
      <c r="C49" s="145" t="str">
        <f t="shared" si="0"/>
        <v>Niederrhein</v>
      </c>
      <c r="D49" s="62" t="s">
        <v>247</v>
      </c>
      <c r="E49" s="166" t="s">
        <v>688</v>
      </c>
      <c r="F49" s="294" t="str">
        <f>VLOOKUP($E49,'BDEW-Standard'!$B$3:$M$94,F$9,0)</f>
        <v>DP4</v>
      </c>
      <c r="G49" s="143"/>
      <c r="H49" s="274">
        <f>ROUND(VLOOKUP($E49,'BDEW-Standard'!$B$3:$M$94,H$9,0),7)</f>
        <v>1.8834609</v>
      </c>
      <c r="I49" s="274">
        <f>ROUND(VLOOKUP($E49,'BDEW-Standard'!$B$3:$M$94,I$9,0),7)</f>
        <v>-37</v>
      </c>
      <c r="J49" s="274">
        <f>ROUND(VLOOKUP($E49,'BDEW-Standard'!$B$3:$M$94,J$9,0),7)</f>
        <v>10.2405021</v>
      </c>
      <c r="K49" s="274">
        <f>ROUND(VLOOKUP($E49,'BDEW-Standard'!$B$3:$M$94,K$9,0),7)</f>
        <v>2.7546999999999999E-2</v>
      </c>
      <c r="L49" s="334">
        <f>ROUND(VLOOKUP($E49,'BDEW-Standard'!$B$3:$M$94,L$9,0),1)</f>
        <v>40</v>
      </c>
      <c r="M49" s="274">
        <f>ROUND(VLOOKUP($E49,'BDEW-Standard'!$B$3:$M$94,M$9,0),7)</f>
        <v>-0.12531</v>
      </c>
      <c r="N49" s="274">
        <f>ROUND(VLOOKUP($E49,'BDEW-Standard'!$B$3:$M$94,N$9,0),7)</f>
        <v>1.6275999000000001</v>
      </c>
      <c r="O49" s="274">
        <f>ROUND(VLOOKUP($E49,'BDEW-Standard'!$B$3:$M$94,O$9,0),7)</f>
        <v>-1.105E-4</v>
      </c>
      <c r="P49" s="274">
        <f>ROUND(VLOOKUP($E49,'BDEW-Standard'!$B$3:$M$94,P$9,0),7)</f>
        <v>6.3511899999999996E-2</v>
      </c>
      <c r="Q49" s="335">
        <f t="shared" si="1"/>
        <v>0.99999976624159248</v>
      </c>
      <c r="R49" s="275">
        <f>ROUND(VLOOKUP(MID($E49,4,3),'Wochentag F(WT)'!$B$7:$J$22,R$9,0),4)</f>
        <v>1.0214000000000001</v>
      </c>
      <c r="S49" s="275">
        <f>ROUND(VLOOKUP(MID($E49,4,3),'Wochentag F(WT)'!$B$7:$J$22,S$9,0),4)</f>
        <v>1.0866</v>
      </c>
      <c r="T49" s="275">
        <f>ROUND(VLOOKUP(MID($E49,4,3),'Wochentag F(WT)'!$B$7:$J$22,T$9,0),4)</f>
        <v>1.0720000000000001</v>
      </c>
      <c r="U49" s="275">
        <f>ROUND(VLOOKUP(MID($E49,4,3),'Wochentag F(WT)'!$B$7:$J$22,U$9,0),4)</f>
        <v>1.0557000000000001</v>
      </c>
      <c r="V49" s="275">
        <f>ROUND(VLOOKUP(MID($E49,4,3),'Wochentag F(WT)'!$B$7:$J$22,V$9,0),4)</f>
        <v>1.0117</v>
      </c>
      <c r="W49" s="275">
        <f>ROUND(VLOOKUP(MID($E49,4,3),'Wochentag F(WT)'!$B$7:$J$22,W$9,0),4)</f>
        <v>0.90010000000000001</v>
      </c>
      <c r="X49" s="276">
        <f t="shared" si="4"/>
        <v>0.85249999999999915</v>
      </c>
      <c r="Y49" s="290"/>
    </row>
    <row r="50" spans="2:25">
      <c r="B50" s="144">
        <v>39</v>
      </c>
      <c r="C50" s="145" t="str">
        <f t="shared" si="0"/>
        <v>Niederrhein</v>
      </c>
      <c r="D50" s="62" t="s">
        <v>247</v>
      </c>
      <c r="E50" s="166" t="s">
        <v>689</v>
      </c>
      <c r="F50" s="294" t="str">
        <f>VLOOKUP($E50,'BDEW-Standard'!$B$3:$M$94,F$9,0)</f>
        <v>FM4</v>
      </c>
      <c r="G50" s="143"/>
      <c r="H50" s="274">
        <f>ROUND(VLOOKUP($E50,'BDEW-Standard'!$B$3:$M$94,H$9,0),7)</f>
        <v>1.0443538000000001</v>
      </c>
      <c r="I50" s="274">
        <f>ROUND(VLOOKUP($E50,'BDEW-Standard'!$B$3:$M$94,I$9,0),7)</f>
        <v>-35.033375399999997</v>
      </c>
      <c r="J50" s="274">
        <f>ROUND(VLOOKUP($E50,'BDEW-Standard'!$B$3:$M$94,J$9,0),7)</f>
        <v>6.2240634000000004</v>
      </c>
      <c r="K50" s="274">
        <f>ROUND(VLOOKUP($E50,'BDEW-Standard'!$B$3:$M$94,K$9,0),7)</f>
        <v>5.0291700000000002E-2</v>
      </c>
      <c r="L50" s="334">
        <f>ROUND(VLOOKUP($E50,'BDEW-Standard'!$B$3:$M$94,L$9,0),1)</f>
        <v>40</v>
      </c>
      <c r="M50" s="274">
        <f>ROUND(VLOOKUP($E50,'BDEW-Standard'!$B$3:$M$94,M$9,0),7)</f>
        <v>-5.3582999999999999E-2</v>
      </c>
      <c r="N50" s="274">
        <f>ROUND(VLOOKUP($E50,'BDEW-Standard'!$B$3:$M$94,N$9,0),7)</f>
        <v>0.99959010000000004</v>
      </c>
      <c r="O50" s="274">
        <f>ROUND(VLOOKUP($E50,'BDEW-Standard'!$B$3:$M$94,O$9,0),7)</f>
        <v>-2.1757999999999999E-3</v>
      </c>
      <c r="P50" s="274">
        <f>ROUND(VLOOKUP($E50,'BDEW-Standard'!$B$3:$M$94,P$9,0),7)</f>
        <v>0.1633299</v>
      </c>
      <c r="Q50" s="335">
        <f t="shared" si="1"/>
        <v>1.0000001838008261</v>
      </c>
      <c r="R50" s="275">
        <f>ROUND(VLOOKUP(MID($E50,4,3),'Wochentag F(WT)'!$B$7:$J$22,R$9,0),4)</f>
        <v>1.0354000000000001</v>
      </c>
      <c r="S50" s="275">
        <f>ROUND(VLOOKUP(MID($E50,4,3),'Wochentag F(WT)'!$B$7:$J$22,S$9,0),4)</f>
        <v>1.0523</v>
      </c>
      <c r="T50" s="275">
        <f>ROUND(VLOOKUP(MID($E50,4,3),'Wochentag F(WT)'!$B$7:$J$22,T$9,0),4)</f>
        <v>1.0448999999999999</v>
      </c>
      <c r="U50" s="275">
        <f>ROUND(VLOOKUP(MID($E50,4,3),'Wochentag F(WT)'!$B$7:$J$22,U$9,0),4)</f>
        <v>1.0494000000000001</v>
      </c>
      <c r="V50" s="275">
        <f>ROUND(VLOOKUP(MID($E50,4,3),'Wochentag F(WT)'!$B$7:$J$22,V$9,0),4)</f>
        <v>0.98850000000000005</v>
      </c>
      <c r="W50" s="275">
        <f>ROUND(VLOOKUP(MID($E50,4,3),'Wochentag F(WT)'!$B$7:$J$22,W$9,0),4)</f>
        <v>0.88600000000000001</v>
      </c>
      <c r="X50" s="276">
        <f t="shared" si="4"/>
        <v>0.94349999999999934</v>
      </c>
      <c r="Y50" s="290"/>
    </row>
    <row r="51" spans="2:25">
      <c r="B51" s="144">
        <v>40</v>
      </c>
      <c r="C51" s="145" t="str">
        <f t="shared" si="0"/>
        <v>Niederrhein</v>
      </c>
      <c r="D51" s="62" t="s">
        <v>247</v>
      </c>
      <c r="E51" s="166" t="s">
        <v>690</v>
      </c>
      <c r="F51" s="294" t="str">
        <f>VLOOKUP($E51,'BDEW-Standard'!$B$3:$M$94,F$9,0)</f>
        <v>DH4</v>
      </c>
      <c r="G51" s="143"/>
      <c r="H51" s="274">
        <f>ROUND(VLOOKUP($E51,'BDEW-Standard'!$B$3:$M$94,H$9,0),7)</f>
        <v>1.2569600000000001</v>
      </c>
      <c r="I51" s="274">
        <f>ROUND(VLOOKUP($E51,'BDEW-Standard'!$B$3:$M$94,I$9,0),7)</f>
        <v>-36.607845300000001</v>
      </c>
      <c r="J51" s="274">
        <f>ROUND(VLOOKUP($E51,'BDEW-Standard'!$B$3:$M$94,J$9,0),7)</f>
        <v>7.3211870000000001</v>
      </c>
      <c r="K51" s="274">
        <f>ROUND(VLOOKUP($E51,'BDEW-Standard'!$B$3:$M$94,K$9,0),7)</f>
        <v>7.7696000000000001E-2</v>
      </c>
      <c r="L51" s="334">
        <f>ROUND(VLOOKUP($E51,'BDEW-Standard'!$B$3:$M$94,L$9,0),1)</f>
        <v>40</v>
      </c>
      <c r="M51" s="274">
        <f>ROUND(VLOOKUP($E51,'BDEW-Standard'!$B$3:$M$94,M$9,0),7)</f>
        <v>-6.9682599999999997E-2</v>
      </c>
      <c r="N51" s="274">
        <f>ROUND(VLOOKUP($E51,'BDEW-Standard'!$B$3:$M$94,N$9,0),7)</f>
        <v>1.1379702</v>
      </c>
      <c r="O51" s="274">
        <f>ROUND(VLOOKUP($E51,'BDEW-Standard'!$B$3:$M$94,O$9,0),7)</f>
        <v>-8.5220000000000001E-4</v>
      </c>
      <c r="P51" s="274">
        <f>ROUND(VLOOKUP($E51,'BDEW-Standard'!$B$3:$M$94,P$9,0),7)</f>
        <v>0.19210679999999999</v>
      </c>
      <c r="Q51" s="335">
        <f t="shared" si="1"/>
        <v>0.99999998900648401</v>
      </c>
      <c r="R51" s="275">
        <f>ROUND(VLOOKUP(MID($E51,4,3),'Wochentag F(WT)'!$B$7:$J$22,R$9,0),4)</f>
        <v>1.03</v>
      </c>
      <c r="S51" s="275">
        <f>ROUND(VLOOKUP(MID($E51,4,3),'Wochentag F(WT)'!$B$7:$J$22,S$9,0),4)</f>
        <v>1.03</v>
      </c>
      <c r="T51" s="275">
        <f>ROUND(VLOOKUP(MID($E51,4,3),'Wochentag F(WT)'!$B$7:$J$22,T$9,0),4)</f>
        <v>1.02</v>
      </c>
      <c r="U51" s="275">
        <f>ROUND(VLOOKUP(MID($E51,4,3),'Wochentag F(WT)'!$B$7:$J$22,U$9,0),4)</f>
        <v>1.03</v>
      </c>
      <c r="V51" s="275">
        <f>ROUND(VLOOKUP(MID($E51,4,3),'Wochentag F(WT)'!$B$7:$J$22,V$9,0),4)</f>
        <v>1.01</v>
      </c>
      <c r="W51" s="275">
        <f>ROUND(VLOOKUP(MID($E51,4,3),'Wochentag F(WT)'!$B$7:$J$22,W$9,0),4)</f>
        <v>0.93</v>
      </c>
      <c r="X51" s="276">
        <f t="shared" si="4"/>
        <v>0.95000000000000018</v>
      </c>
      <c r="Y51" s="290"/>
    </row>
    <row r="52" spans="2:25">
      <c r="B52" s="144"/>
      <c r="C52" s="145"/>
      <c r="D52" s="62"/>
      <c r="E52" s="166"/>
      <c r="F52" s="294"/>
      <c r="G52" s="143"/>
      <c r="H52" s="274"/>
      <c r="I52" s="274"/>
      <c r="J52" s="274"/>
      <c r="K52" s="274"/>
      <c r="L52" s="334"/>
      <c r="M52" s="274"/>
      <c r="N52" s="274"/>
      <c r="O52" s="274"/>
      <c r="P52" s="274"/>
      <c r="Q52" s="335"/>
      <c r="R52" s="275"/>
      <c r="S52" s="275"/>
      <c r="T52" s="275"/>
      <c r="U52" s="275"/>
      <c r="V52" s="275"/>
      <c r="W52" s="275"/>
      <c r="X52" s="276"/>
      <c r="Y52" s="290"/>
    </row>
  </sheetData>
  <conditionalFormatting sqref="F11:F52 H11:K18 M11:P13 R11:Y18 M17:P18 M34:P52 R34:Y52 Y19:Y33 H34:K52">
    <cfRule type="expression" dxfId="19" priority="20">
      <formula>ISERROR(F11)</formula>
    </cfRule>
  </conditionalFormatting>
  <conditionalFormatting sqref="Y12:Y52 E12:F52">
    <cfRule type="duplicateValues" dxfId="18" priority="42"/>
  </conditionalFormatting>
  <conditionalFormatting sqref="L11:L18 L34:L52">
    <cfRule type="expression" dxfId="17" priority="11">
      <formula>ISERROR(L11)</formula>
    </cfRule>
  </conditionalFormatting>
  <conditionalFormatting sqref="Q11:Q18 Q34:Q52">
    <cfRule type="expression" dxfId="16" priority="10">
      <formula>ISERROR(Q11)</formula>
    </cfRule>
  </conditionalFormatting>
  <conditionalFormatting sqref="M16:P16">
    <cfRule type="expression" dxfId="15" priority="9">
      <formula>ISERROR(M16)</formula>
    </cfRule>
  </conditionalFormatting>
  <conditionalFormatting sqref="M15:P15">
    <cfRule type="expression" dxfId="14" priority="7">
      <formula>ISERROR(M15)</formula>
    </cfRule>
  </conditionalFormatting>
  <conditionalFormatting sqref="M14:P14">
    <cfRule type="expression" dxfId="13" priority="5">
      <formula>ISERROR(M14)</formula>
    </cfRule>
  </conditionalFormatting>
  <conditionalFormatting sqref="H19:K33 R19:X33 M19:P33">
    <cfRule type="expression" dxfId="12" priority="3">
      <formula>ISERROR(H19)</formula>
    </cfRule>
  </conditionalFormatting>
  <conditionalFormatting sqref="L19:L33">
    <cfRule type="expression" dxfId="11" priority="2">
      <formula>ISERROR(L19)</formula>
    </cfRule>
  </conditionalFormatting>
  <conditionalFormatting sqref="Q19:Q33">
    <cfRule type="expression" dxfId="10" priority="1">
      <formula>ISERROR(Q19)</formula>
    </cfRule>
  </conditionalFormatting>
  <dataValidations count="2">
    <dataValidation type="list" errorStyle="warning" allowBlank="1" showInputMessage="1" showErrorMessage="1" errorTitle="Profil-Art" error="Bitte Profilwahl gemäß Auswahlfeld" sqref="D12:D52" xr:uid="{00000000-0002-0000-06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600-000001000000}"/>
  </dataValidations>
  <pageMargins left="0.25" right="0.25" top="0.75" bottom="0.75" header="0.3" footer="0.3"/>
  <pageSetup paperSize="9" scale="43" orientation="landscape" r:id="rId1"/>
  <ignoredErrors>
    <ignoredError sqref="L11" formula="1"/>
    <ignoredError sqref="F12 H12:K12 C13:C33 C34:C41 M12:X12 H17:K26 F17:F26 R14:X14 R13:X13 M17:X26 R16:X16 R15:X15" unlockedFormula="1"/>
    <ignoredError sqref="L12 L17:L26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D11:D52</xm:sqref>
        </x14:conditionalFormatting>
        <x14:conditionalFormatting xmlns:xm="http://schemas.microsoft.com/office/excel/2006/main">
          <x14:cfRule type="expression" priority="12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600-000003000000}">
          <x14:formula1>
            <xm:f>'BDEW-Standard'!$B$3:$B$94</xm:f>
          </x14:formula1>
          <xm:sqref>E11:E52</xm:sqref>
        </x14:dataValidation>
        <x14:dataValidation type="list" allowBlank="1" showInputMessage="1" showErrorMessage="1" xr:uid="{00000000-0002-0000-06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6328125" style="75" customWidth="1"/>
    <col min="2" max="2" width="15.1328125" style="75" customWidth="1"/>
    <col min="3" max="3" width="14.73046875" style="75" customWidth="1"/>
    <col min="4" max="4" width="5.86328125" style="75" hidden="1" customWidth="1"/>
    <col min="5" max="5" width="5.1328125" style="75" customWidth="1"/>
    <col min="6" max="12" width="12.73046875" style="75" customWidth="1"/>
    <col min="13" max="30" width="5.73046875" style="75" customWidth="1"/>
    <col min="31" max="31" width="11.3984375" style="75" customWidth="1"/>
    <col min="32" max="16384" width="11.3984375" style="75" hidden="1"/>
  </cols>
  <sheetData>
    <row r="1" spans="2:30" ht="75" customHeight="1"/>
    <row r="2" spans="2:30" ht="22.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GELSENWASSER Energienetze GmbH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25">
      <c r="B5" s="87" t="s">
        <v>447</v>
      </c>
      <c r="C5" s="64" t="str">
        <f>Netzbetreiber!$D$28</f>
        <v>Niederrhein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25">
      <c r="B6" s="85" t="s">
        <v>445</v>
      </c>
      <c r="C6" s="63" t="str">
        <f>Netzbetreiber!$D$11</f>
        <v>9870109500008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4.65" thickBot="1">
      <c r="B7" s="85" t="s">
        <v>133</v>
      </c>
      <c r="C7" s="59">
        <f>Netzbetreiber!$D$6</f>
        <v>44197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4.6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1" t="s">
        <v>461</v>
      </c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3"/>
    </row>
    <row r="9" spans="2:30" ht="14.6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6" t="s">
        <v>585</v>
      </c>
      <c r="C10" s="347"/>
      <c r="D10" s="94">
        <v>2</v>
      </c>
      <c r="E10" s="95" t="str">
        <f>IF(ISERROR(HLOOKUP(E$11,$M$9:$AD$33,$D10,0)),"",HLOOKUP(E$11,$M$9:$AD$33,$D10,0))</f>
        <v/>
      </c>
      <c r="F10" s="344" t="s">
        <v>398</v>
      </c>
      <c r="G10" s="344"/>
      <c r="H10" s="344"/>
      <c r="I10" s="344"/>
      <c r="J10" s="344"/>
      <c r="K10" s="344"/>
      <c r="L10" s="345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4.6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25">
      <c r="B12" s="109" t="s">
        <v>399</v>
      </c>
      <c r="C12" s="110"/>
      <c r="D12" s="111">
        <v>4</v>
      </c>
      <c r="E12" s="301">
        <f>MIN(SUMPRODUCT($M$11:$AD$11,M12:AD12),1)</f>
        <v>1</v>
      </c>
      <c r="F12" s="298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25">
      <c r="B13" s="116" t="s">
        <v>400</v>
      </c>
      <c r="C13" s="117"/>
      <c r="D13" s="111">
        <v>5</v>
      </c>
      <c r="E13" s="302">
        <f t="shared" ref="E13:E33" si="0">MIN(SUMPRODUCT($M$11:$AD$11,M13:AD13),1)</f>
        <v>0</v>
      </c>
      <c r="F13" s="299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25">
      <c r="B14" s="116" t="s">
        <v>401</v>
      </c>
      <c r="C14" s="117"/>
      <c r="D14" s="111">
        <v>6</v>
      </c>
      <c r="E14" s="302">
        <f t="shared" si="0"/>
        <v>0</v>
      </c>
      <c r="F14" s="299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25">
      <c r="B15" s="116" t="s">
        <v>403</v>
      </c>
      <c r="C15" s="117"/>
      <c r="D15" s="111">
        <v>7</v>
      </c>
      <c r="E15" s="302">
        <f t="shared" si="0"/>
        <v>0</v>
      </c>
      <c r="F15" s="299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25">
      <c r="B16" s="121" t="s">
        <v>415</v>
      </c>
      <c r="C16" s="117"/>
      <c r="D16" s="111">
        <v>8</v>
      </c>
      <c r="E16" s="302">
        <f t="shared" si="0"/>
        <v>1</v>
      </c>
      <c r="F16" s="299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25">
      <c r="B17" s="121" t="s">
        <v>416</v>
      </c>
      <c r="C17" s="117"/>
      <c r="D17" s="111">
        <v>9</v>
      </c>
      <c r="E17" s="302">
        <f t="shared" si="0"/>
        <v>1</v>
      </c>
      <c r="F17" s="299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25">
      <c r="B18" s="121" t="s">
        <v>417</v>
      </c>
      <c r="C18" s="117"/>
      <c r="D18" s="111">
        <v>10</v>
      </c>
      <c r="E18" s="302">
        <f t="shared" si="0"/>
        <v>1</v>
      </c>
      <c r="F18" s="299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25">
      <c r="B19" s="121" t="s">
        <v>404</v>
      </c>
      <c r="C19" s="117"/>
      <c r="D19" s="111">
        <v>11</v>
      </c>
      <c r="E19" s="302">
        <f t="shared" si="0"/>
        <v>1</v>
      </c>
      <c r="F19" s="299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25">
      <c r="B20" s="121" t="s">
        <v>651</v>
      </c>
      <c r="C20" s="117"/>
      <c r="D20" s="111">
        <v>12</v>
      </c>
      <c r="E20" s="302">
        <f t="shared" si="0"/>
        <v>1</v>
      </c>
      <c r="F20" s="299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25">
      <c r="B21" s="121" t="s">
        <v>418</v>
      </c>
      <c r="C21" s="117"/>
      <c r="D21" s="111">
        <v>13</v>
      </c>
      <c r="E21" s="302">
        <f t="shared" si="0"/>
        <v>1</v>
      </c>
      <c r="F21" s="299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25">
      <c r="B22" s="121" t="s">
        <v>419</v>
      </c>
      <c r="C22" s="117"/>
      <c r="D22" s="111">
        <v>14</v>
      </c>
      <c r="E22" s="302">
        <f t="shared" si="0"/>
        <v>1</v>
      </c>
      <c r="F22" s="299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25">
      <c r="B23" s="116" t="s">
        <v>420</v>
      </c>
      <c r="C23" s="117"/>
      <c r="D23" s="111">
        <v>15</v>
      </c>
      <c r="E23" s="302">
        <f t="shared" si="0"/>
        <v>1</v>
      </c>
      <c r="F23" s="299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25">
      <c r="B24" s="116" t="s">
        <v>405</v>
      </c>
      <c r="C24" s="117"/>
      <c r="D24" s="111">
        <v>16</v>
      </c>
      <c r="E24" s="302">
        <f t="shared" si="0"/>
        <v>0</v>
      </c>
      <c r="F24" s="299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25">
      <c r="B25" s="116" t="s">
        <v>406</v>
      </c>
      <c r="C25" s="117"/>
      <c r="D25" s="111">
        <v>17</v>
      </c>
      <c r="E25" s="302">
        <f t="shared" si="0"/>
        <v>0</v>
      </c>
      <c r="F25" s="299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25">
      <c r="B26" s="121" t="s">
        <v>407</v>
      </c>
      <c r="C26" s="117"/>
      <c r="D26" s="111">
        <v>18</v>
      </c>
      <c r="E26" s="302">
        <f t="shared" si="0"/>
        <v>1</v>
      </c>
      <c r="F26" s="299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25">
      <c r="B27" s="116" t="s">
        <v>408</v>
      </c>
      <c r="C27" s="117"/>
      <c r="D27" s="111">
        <v>19</v>
      </c>
      <c r="E27" s="302">
        <f t="shared" si="0"/>
        <v>0</v>
      </c>
      <c r="F27" s="299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25">
      <c r="B28" s="116" t="s">
        <v>409</v>
      </c>
      <c r="C28" s="117"/>
      <c r="D28" s="111">
        <v>20</v>
      </c>
      <c r="E28" s="302">
        <f t="shared" si="0"/>
        <v>1</v>
      </c>
      <c r="F28" s="299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25">
      <c r="B29" s="116" t="s">
        <v>410</v>
      </c>
      <c r="C29" s="117"/>
      <c r="D29" s="111">
        <v>21</v>
      </c>
      <c r="E29" s="302">
        <f t="shared" si="0"/>
        <v>0</v>
      </c>
      <c r="F29" s="299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25">
      <c r="B30" s="116" t="s">
        <v>411</v>
      </c>
      <c r="C30" s="117"/>
      <c r="D30" s="111">
        <v>22</v>
      </c>
      <c r="E30" s="302">
        <f t="shared" si="0"/>
        <v>0</v>
      </c>
      <c r="F30" s="299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25">
      <c r="B31" s="121" t="s">
        <v>412</v>
      </c>
      <c r="C31" s="117"/>
      <c r="D31" s="111">
        <v>23</v>
      </c>
      <c r="E31" s="302">
        <f t="shared" si="0"/>
        <v>1</v>
      </c>
      <c r="F31" s="299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25">
      <c r="B32" s="121" t="s">
        <v>413</v>
      </c>
      <c r="C32" s="117"/>
      <c r="D32" s="111">
        <v>24</v>
      </c>
      <c r="E32" s="302">
        <f t="shared" si="0"/>
        <v>1</v>
      </c>
      <c r="F32" s="299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4.65" thickBot="1">
      <c r="B33" s="122" t="s">
        <v>414</v>
      </c>
      <c r="C33" s="123"/>
      <c r="D33" s="124">
        <v>25</v>
      </c>
      <c r="E33" s="303">
        <f t="shared" si="0"/>
        <v>0</v>
      </c>
      <c r="F33" s="300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7" priority="9">
      <formula>IF(E$11="NB",1,0)</formula>
    </cfRule>
  </conditionalFormatting>
  <conditionalFormatting sqref="F12:L33">
    <cfRule type="expression" dxfId="6" priority="6">
      <formula>IF($E12=1,1,0)</formula>
    </cfRule>
  </conditionalFormatting>
  <conditionalFormatting sqref="M12:AD33">
    <cfRule type="expression" dxfId="5" priority="3">
      <formula>IF(M$11=1,1)</formula>
    </cfRule>
  </conditionalFormatting>
  <conditionalFormatting sqref="M9:AD10">
    <cfRule type="expression" dxfId="4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3" xr:uid="{00000000-0002-0000-0700-000002000000}">
      <formula1>"1, "</formula1>
    </dataValidation>
    <dataValidation type="list" allowBlank="1" showInputMessage="1" showErrorMessage="1" sqref="F12:L33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tabColor rgb="FFC00000"/>
  </sheetPr>
  <dimension ref="A1:N158"/>
  <sheetViews>
    <sheetView showGridLines="0" topLeftCell="A94" zoomScale="70" zoomScaleNormal="70" workbookViewId="0">
      <selection activeCell="E134" sqref="E134:I134"/>
    </sheetView>
  </sheetViews>
  <sheetFormatPr baseColWidth="10" defaultColWidth="11.3984375" defaultRowHeight="14.25"/>
  <cols>
    <col min="1" max="3" width="11.3984375" style="128"/>
    <col min="4" max="4" width="19.86328125" style="128" customWidth="1"/>
    <col min="5" max="9" width="16" style="128" customWidth="1"/>
    <col min="10" max="10" width="15.1328125" style="128" customWidth="1"/>
    <col min="11" max="12" width="16" style="128" customWidth="1"/>
    <col min="13" max="13" width="15.265625" style="128" customWidth="1"/>
    <col min="14" max="16384" width="11.3984375" style="128"/>
  </cols>
  <sheetData>
    <row r="1" spans="1:14">
      <c r="A1" s="212" t="s">
        <v>347</v>
      </c>
      <c r="B1" s="213">
        <v>42173</v>
      </c>
      <c r="D1" s="131" t="s">
        <v>457</v>
      </c>
      <c r="F1" s="214" t="s">
        <v>547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1" t="s">
        <v>654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4.6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8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Info</vt:lpstr>
      <vt:lpstr>Netzbetreiber</vt:lpstr>
      <vt:lpstr>SLP-Verfahren</vt:lpstr>
      <vt:lpstr>SLP-Temp-Gebiet #Hünxe</vt:lpstr>
      <vt:lpstr>SLP-Temp-Gebiet #Kevelaer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Magiera, Christoph</cp:lastModifiedBy>
  <cp:lastPrinted>2015-09-15T09:21:43Z</cp:lastPrinted>
  <dcterms:created xsi:type="dcterms:W3CDTF">2015-01-15T05:25:41Z</dcterms:created>
  <dcterms:modified xsi:type="dcterms:W3CDTF">2020-10-29T12:41:33Z</dcterms:modified>
</cp:coreProperties>
</file>